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1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<sst xmlns="http://schemas.openxmlformats.org/spreadsheetml/2006/main" count="245" uniqueCount="159">
  <si>
    <t xml:space="preserve">ỦY BAN NHÂN DÂN </t>
  </si>
  <si>
    <t>HUYỆN HÀM THUẬN NAM</t>
  </si>
  <si>
    <t>TINH HÌNH THỰC HIỆN MỘT SỐ CHỈ TIÊU KINH TẾ-XÃ HỘI CHỦ YẾU</t>
  </si>
  <si>
    <t>GIAI ĐOẠN 2011-2015 VÀ MỤC TIÊU ĐẾN NĂM 2020</t>
  </si>
  <si>
    <t>(kèm theo Báo cáo số          /BC-UBND ngày     tháng     năm 2014 của UBND huyện)</t>
  </si>
  <si>
    <t>STT</t>
  </si>
  <si>
    <t>Nội dung</t>
  </si>
  <si>
    <t>Đơn vị  tính</t>
  </si>
  <si>
    <t>Thực hiện năm 2010</t>
  </si>
  <si>
    <t>Thực hiện 2011-2015</t>
  </si>
  <si>
    <t>Mục tiêu đến năm 2020</t>
  </si>
  <si>
    <t>Tăng trưởng BQ 2015-2020</t>
  </si>
  <si>
    <t>S</t>
  </si>
  <si>
    <t>hiện</t>
  </si>
  <si>
    <t>Năm 2011</t>
  </si>
  <si>
    <t>Năm 2012</t>
  </si>
  <si>
    <t>Năm 2013</t>
  </si>
  <si>
    <t>Năm 2014</t>
  </si>
  <si>
    <t>Ước TH 2015</t>
  </si>
  <si>
    <t>Tăng trưởng BQ 2011-2015</t>
  </si>
  <si>
    <t>T</t>
  </si>
  <si>
    <t>năm</t>
  </si>
  <si>
    <t>A</t>
  </si>
  <si>
    <t>B</t>
  </si>
  <si>
    <t>C</t>
  </si>
  <si>
    <t>D</t>
  </si>
  <si>
    <t>CÁC CHỈ TIÊU TỔNG HỢP</t>
  </si>
  <si>
    <t xml:space="preserve">Dân số trung bình </t>
  </si>
  <si>
    <t>Người</t>
  </si>
  <si>
    <t>Tỷ lệ tăng dân số tự nhiên</t>
  </si>
  <si>
    <t>%o</t>
  </si>
  <si>
    <t>Tỷ suất sinh</t>
  </si>
  <si>
    <t>Tỷ lệ giảm sinh</t>
  </si>
  <si>
    <t>Tổng nguồn lao động</t>
  </si>
  <si>
    <t>* Số người trong độ tuổi lao động</t>
  </si>
  <si>
    <t>T.đó: LĐ trong độ tuổi LĐ có khả năng lao động</t>
  </si>
  <si>
    <t>Tr.đồng</t>
  </si>
  <si>
    <t>%</t>
  </si>
  <si>
    <t>Dịch vụ</t>
  </si>
  <si>
    <t>*</t>
  </si>
  <si>
    <t>Cơ cấu kinh tế</t>
  </si>
  <si>
    <t>1000đ</t>
  </si>
  <si>
    <t>Thu ngân sách trên địa bàn</t>
  </si>
  <si>
    <t>Chi ngân sách huyện</t>
  </si>
  <si>
    <t>Chi xây dựng cơ bản</t>
  </si>
  <si>
    <t>CHỈ TIÊU CÁC NGÀNH KINH TẾ</t>
  </si>
  <si>
    <t>I</t>
  </si>
  <si>
    <t>NÔNG-LÂM-THỦY SẢN</t>
  </si>
  <si>
    <t>Trồng trọt</t>
  </si>
  <si>
    <t>Sản lượng lương thực có hạt</t>
  </si>
  <si>
    <t>Tấn</t>
  </si>
  <si>
    <t>Lúa</t>
  </si>
  <si>
    <t>Bắp</t>
  </si>
  <si>
    <t>Sản lượng thanh long</t>
  </si>
  <si>
    <t>Sản lượng hạt điều</t>
  </si>
  <si>
    <t>Chăn nuôi</t>
  </si>
  <si>
    <t>Trâu</t>
  </si>
  <si>
    <t>con</t>
  </si>
  <si>
    <t>Bò</t>
  </si>
  <si>
    <t>Heo</t>
  </si>
  <si>
    <t>Gia cầm</t>
  </si>
  <si>
    <t>Lâm nghiệp</t>
  </si>
  <si>
    <t>Tổng diện tích đất lâm nghiệp</t>
  </si>
  <si>
    <t>ha</t>
  </si>
  <si>
    <t>Diện tích rừng tự nhiên</t>
  </si>
  <si>
    <t>Diện tích rừng trồng</t>
  </si>
  <si>
    <t>Diện tích rừng được GKBV</t>
  </si>
  <si>
    <t>D.tích rừng trồng mới tập trung</t>
  </si>
  <si>
    <t>Thủy sản</t>
  </si>
  <si>
    <t>Diện tích nuôi trồng thủy sản</t>
  </si>
  <si>
    <t>Tôm nước lợ</t>
  </si>
  <si>
    <t>Sản lượng khai thác hải sản</t>
  </si>
  <si>
    <t>Sản lượng nuôi trồng thủy sản</t>
  </si>
  <si>
    <t>II</t>
  </si>
  <si>
    <t>CÔNG NGHIỆP-TTCN</t>
  </si>
  <si>
    <t>Số cơ sở SXCN - TTCN, NQD</t>
  </si>
  <si>
    <t>cơ sở</t>
  </si>
  <si>
    <t>Trong đó: Doanh nghiệp</t>
  </si>
  <si>
    <t>Hộ cá thể</t>
  </si>
  <si>
    <t>Tổng giá trị SXCN-TTCN trên địa bàn</t>
  </si>
  <si>
    <t>Theo giá cố định 1994</t>
  </si>
  <si>
    <t>Triệu đồng</t>
  </si>
  <si>
    <t xml:space="preserve">Theo giá hiện hành </t>
  </si>
  <si>
    <t>Một số sản phẩm chủ yếu</t>
  </si>
  <si>
    <t>Đá khai thác các loại</t>
  </si>
  <si>
    <t>1000m3</t>
  </si>
  <si>
    <t>Cát sỏi</t>
  </si>
  <si>
    <t>Muối hạt</t>
  </si>
  <si>
    <t>Nước đá</t>
  </si>
  <si>
    <t>Gạch nung</t>
  </si>
  <si>
    <t>1000 viên</t>
  </si>
  <si>
    <t>III</t>
  </si>
  <si>
    <t xml:space="preserve"> THƯƠNG MẠI, DỊCH VỤ, DU LỊCH</t>
  </si>
  <si>
    <t>Số cơ sở doanh nghiệp</t>
  </si>
  <si>
    <t>DN</t>
  </si>
  <si>
    <t>Số cơ sở KDTN-DV cá thể</t>
  </si>
  <si>
    <t>Hộ</t>
  </si>
  <si>
    <t xml:space="preserve"> Tổng Doanh thu du lịch  </t>
  </si>
  <si>
    <t>tr đồng</t>
  </si>
  <si>
    <t>Xuất khẩu hàng hóa trên địa bàn</t>
  </si>
  <si>
    <t xml:space="preserve">Tổng giá trị  kim ngạch xuất khẩu   </t>
  </si>
  <si>
    <t>1000USD</t>
  </si>
  <si>
    <t>Tổng lượng hàng hóa xuất khẩu</t>
  </si>
  <si>
    <t>tấn</t>
  </si>
  <si>
    <t>CHỈ TIÊU CÁC NGÀNH XÃ HỘI</t>
  </si>
  <si>
    <t>GIÁO DỤC</t>
  </si>
  <si>
    <t>Mẫu giáo</t>
  </si>
  <si>
    <t>Số cháu</t>
  </si>
  <si>
    <t>cháu</t>
  </si>
  <si>
    <t>Tỷ lệ trẻ học mẫu giáo</t>
  </si>
  <si>
    <t>Tiểu học</t>
  </si>
  <si>
    <t>Số học sinh</t>
  </si>
  <si>
    <t>HS</t>
  </si>
  <si>
    <t>Tỷ lệ học sinh đến trường</t>
  </si>
  <si>
    <t>Trung học cơ sở</t>
  </si>
  <si>
    <t xml:space="preserve">Số học sinh tốt nghiệp </t>
  </si>
  <si>
    <t>Trung học phổ thông</t>
  </si>
  <si>
    <t>Y TẾ</t>
  </si>
  <si>
    <t>Giường bệnh</t>
  </si>
  <si>
    <t>giường</t>
  </si>
  <si>
    <t>Bệnh viện và phòng khám khu vực</t>
  </si>
  <si>
    <t>Cán bộ y tế</t>
  </si>
  <si>
    <t>Trong đó: Bác sĩ</t>
  </si>
  <si>
    <t>VĂN HÓA</t>
  </si>
  <si>
    <t>Số hộ đăng ký "Gia đình văn hóa"</t>
  </si>
  <si>
    <t>hộ</t>
  </si>
  <si>
    <r>
      <t>Số hộ đạt "</t>
    </r>
    <r>
      <rPr>
        <i/>
        <sz val="12"/>
        <rFont val="Times New Roman"/>
        <family val="1"/>
      </rPr>
      <t>Gia đình văn hóa"</t>
    </r>
  </si>
  <si>
    <r>
      <t xml:space="preserve">Tỷ lệ hộ đạt </t>
    </r>
    <r>
      <rPr>
        <i/>
        <sz val="12"/>
        <rFont val="Times New Roman"/>
        <family val="1"/>
      </rPr>
      <t>"Gia đình văn hóa"</t>
    </r>
  </si>
  <si>
    <t>Số đơn vị đ.ký thực hiện"NSVM"</t>
  </si>
  <si>
    <t xml:space="preserve">đơn vị </t>
  </si>
  <si>
    <t xml:space="preserve"> Số đơn vị đạt "NSVM"</t>
  </si>
  <si>
    <t>"</t>
  </si>
  <si>
    <t>Tỷ lệ đơn vị đạt</t>
  </si>
  <si>
    <t>CÁC CHỈ TIÊU KHÁC</t>
  </si>
  <si>
    <t>Tỷ lệ suy dinh dưỡng</t>
  </si>
  <si>
    <t>&lt;10</t>
  </si>
  <si>
    <t>Tỷ lệ hộ nghèo</t>
  </si>
  <si>
    <t>&lt;4</t>
  </si>
  <si>
    <t>&lt;2</t>
  </si>
  <si>
    <t>Số hộ sử dụng nước sạch</t>
  </si>
  <si>
    <t xml:space="preserve">Tỷ lệ hộ sử dụng nước sạch </t>
  </si>
  <si>
    <t>Số hộ sử dụng điện</t>
  </si>
  <si>
    <t xml:space="preserve">Tỷ lệ hộ sử dụng điện </t>
  </si>
  <si>
    <t>Nông - lâm - thủy sản</t>
  </si>
  <si>
    <t>Công nghiệp-Xây dựng</t>
  </si>
  <si>
    <t>Tổng sản phẩm nội huyện theo giá hiện hành</t>
  </si>
  <si>
    <t>Tiền Việt Nam</t>
  </si>
  <si>
    <t>USD</t>
  </si>
  <si>
    <t>Kế họach năm 2015</t>
  </si>
  <si>
    <t>Tổng sản phẩm nội huyện theo giá cố định (1994)</t>
  </si>
  <si>
    <t>GRDP BQ /người theo giá HH</t>
  </si>
  <si>
    <t>Tốc độ tăng trưởng hàng năm</t>
  </si>
  <si>
    <t xml:space="preserve">Số thôn, kp văn hóa được công nhận </t>
  </si>
  <si>
    <t>thôn/ khu phố</t>
  </si>
  <si>
    <t>10</t>
  </si>
  <si>
    <t>26</t>
  </si>
  <si>
    <t>37</t>
  </si>
  <si>
    <t>41</t>
  </si>
  <si>
    <t>39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</si>
</sst>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  <numFmt numFmtId="167" formatCode="0.000"/>
    <numFmt numFmtId="168" formatCode="0.0000"/>
  </numFmts>
  <fonts count="66">
    <font>
      <sz val="10"/>
      <name val="Arial"/>
      <family val="0"/>
    </font>
    <font>
      <b/>
      <sz val="14"/>
      <name val="Times New Roman"/>
      <family val="1"/>
    </font>
    <font>
      <b/>
      <sz val="10"/>
      <color indexed="10"/>
      <name val="Arial"/>
      <family val="2"/>
    </font>
    <font>
      <sz val="10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color indexed="61"/>
      <name val="Times New Roman"/>
      <family val="1"/>
    </font>
    <font>
      <sz val="10"/>
      <name val=".VnTime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sz val="13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sz val="9"/>
      <name val="Times New Roman"/>
      <family val="0"/>
    </font>
    <font>
      <sz val="10"/>
      <color indexed="10"/>
      <name val=".VnArialH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1" fontId="9" fillId="0" borderId="11" xfId="0" applyNumberFormat="1" applyFont="1" applyBorder="1" applyAlignment="1">
      <alignment horizontal="right" vertical="center" wrapText="1"/>
    </xf>
    <xf numFmtId="2" fontId="9" fillId="0" borderId="11" xfId="57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2" fontId="3" fillId="0" borderId="11" xfId="57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 applyProtection="1">
      <alignment horizontal="right" vertical="center" wrapText="1"/>
      <protection hidden="1"/>
    </xf>
    <xf numFmtId="0" fontId="13" fillId="0" borderId="11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" fontId="3" fillId="0" borderId="11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3" fillId="0" borderId="11" xfId="42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right" vertical="center" wrapText="1"/>
    </xf>
    <xf numFmtId="164" fontId="9" fillId="0" borderId="11" xfId="42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41" fontId="16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right" vertical="center" wrapText="1"/>
    </xf>
    <xf numFmtId="41" fontId="18" fillId="0" borderId="11" xfId="0" applyNumberFormat="1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2" fontId="3" fillId="0" borderId="13" xfId="57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2" fontId="9" fillId="0" borderId="11" xfId="57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2" fontId="3" fillId="0" borderId="11" xfId="57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5" fillId="0" borderId="11" xfId="0" applyFont="1" applyBorder="1" applyAlignment="1">
      <alignment horizontal="left" vertical="center" wrapText="1"/>
    </xf>
    <xf numFmtId="1" fontId="9" fillId="0" borderId="11" xfId="0" applyNumberFormat="1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29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/>
    </xf>
    <xf numFmtId="2" fontId="10" fillId="0" borderId="11" xfId="57" applyNumberFormat="1" applyFont="1" applyBorder="1" applyAlignment="1">
      <alignment horizontal="right"/>
    </xf>
    <xf numFmtId="2" fontId="7" fillId="0" borderId="11" xfId="57" applyNumberFormat="1" applyFont="1" applyBorder="1" applyAlignment="1">
      <alignment horizontal="right" vertical="center" wrapText="1"/>
    </xf>
    <xf numFmtId="166" fontId="7" fillId="0" borderId="1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center"/>
    </xf>
    <xf numFmtId="166" fontId="9" fillId="0" borderId="11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vertical="center"/>
    </xf>
    <xf numFmtId="3" fontId="30" fillId="0" borderId="11" xfId="0" applyNumberFormat="1" applyFont="1" applyBorder="1" applyAlignment="1">
      <alignment vertical="center"/>
    </xf>
    <xf numFmtId="3" fontId="30" fillId="0" borderId="11" xfId="0" applyNumberFormat="1" applyFont="1" applyBorder="1" applyAlignment="1">
      <alignment vertical="center"/>
    </xf>
    <xf numFmtId="4" fontId="30" fillId="0" borderId="11" xfId="0" applyNumberFormat="1" applyFont="1" applyBorder="1" applyAlignment="1">
      <alignment vertical="center"/>
    </xf>
    <xf numFmtId="3" fontId="30" fillId="0" borderId="11" xfId="0" applyNumberFormat="1" applyFont="1" applyBorder="1" applyAlignment="1">
      <alignment horizontal="right" vertical="center" wrapText="1"/>
    </xf>
    <xf numFmtId="3" fontId="30" fillId="0" borderId="11" xfId="0" applyNumberFormat="1" applyFont="1" applyBorder="1" applyAlignment="1">
      <alignment horizontal="right" vertical="center" wrapText="1"/>
    </xf>
    <xf numFmtId="1" fontId="10" fillId="0" borderId="11" xfId="0" applyNumberFormat="1" applyFont="1" applyBorder="1" applyAlignment="1">
      <alignment horizontal="right" vertical="center" wrapText="1"/>
    </xf>
    <xf numFmtId="41" fontId="31" fillId="0" borderId="11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1" xfId="0" applyNumberFormat="1" applyFont="1" applyBorder="1" applyAlignment="1" quotePrefix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Giam%20huyen\NG2012\NG2012%20-%20IN%20CHINH\thuongm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TCTXH&#244;i\n&#259;m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Giam%20huyen\NG2012\NG2012%20-%20IN%20CHINH\TKQ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AU MỤC"/>
      <sheetName val="TR69CSTNKSDV"/>
      <sheetName val="TR70 LĐ TMKS-DV"/>
      <sheetName val="TR71 SL.Gtr XK"/>
      <sheetName val="TR72GT XK. chia LT"/>
      <sheetName val="TR73TMBL"/>
      <sheetName val=" TR74 DLICH"/>
    </sheetNames>
    <sheetDataSet>
      <sheetData sheetId="3">
        <row r="5">
          <cell r="C5">
            <v>8267</v>
          </cell>
        </row>
      </sheetData>
      <sheetData sheetId="4">
        <row r="5">
          <cell r="C5">
            <v>11483.9</v>
          </cell>
          <cell r="D5">
            <v>11473.5</v>
          </cell>
          <cell r="E5">
            <v>8636.3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Xinh"/>
      <sheetName val="Dinh"/>
      <sheetName val="Tình"/>
      <sheetName val="Ngân"/>
      <sheetName val="Sheet5"/>
      <sheetName val="Sheet1"/>
      <sheetName val="Sheet3"/>
      <sheetName val="Sheet4"/>
      <sheetName val="Sheet2"/>
      <sheetName val="Sheet7"/>
      <sheetName val="Sheet8"/>
      <sheetName val="Sheet6"/>
    </sheetNames>
    <sheetDataSet>
      <sheetData sheetId="1">
        <row r="188">
          <cell r="D188">
            <v>205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ĐẦUMUC"/>
      <sheetName val="CTCHUYẾU"/>
      <sheetName val="BĐ(GDPBQ.ng)"/>
      <sheetName val="TKQG 21-22_R"/>
      <sheetName val="BĐ(GDP)"/>
      <sheetName val="TKQG9_23_R"/>
      <sheetName val="TKQG_24_R"/>
      <sheetName val="TKQG_25_R"/>
      <sheetName val="TKQG_26_R"/>
      <sheetName val="BĐNS"/>
      <sheetName val="ThuNS_28-29_R"/>
      <sheetName val="N.Hàng"/>
      <sheetName val="DT31"/>
      <sheetName val="DT 32_R"/>
      <sheetName val="DT7-33_YET_R"/>
      <sheetName val="CC_DT_34_R"/>
      <sheetName val="hộ SD điện"/>
      <sheetName val="SL TĐT CSKT,HCSN 2012(CS)"/>
      <sheetName val="SL TĐT CSKT,HCSN 2012(LĐ)"/>
    </sheetNames>
    <sheetDataSet>
      <sheetData sheetId="3">
        <row r="9">
          <cell r="B9">
            <v>572836</v>
          </cell>
          <cell r="C9">
            <v>286687</v>
          </cell>
          <cell r="D9">
            <v>93860</v>
          </cell>
        </row>
        <row r="10">
          <cell r="B10">
            <v>622338</v>
          </cell>
          <cell r="C10">
            <v>304316</v>
          </cell>
          <cell r="D10">
            <v>102721</v>
          </cell>
        </row>
        <row r="25">
          <cell r="D25">
            <v>730958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"/>
  <sheetViews>
    <sheetView tabSelected="1" view="pageBreakPreview" zoomScaleNormal="70" zoomScaleSheetLayoutView="100" zoomScalePageLayoutView="0" workbookViewId="0" topLeftCell="C1">
      <selection activeCell="E114" sqref="E114"/>
    </sheetView>
  </sheetViews>
  <sheetFormatPr defaultColWidth="9.140625" defaultRowHeight="12.75"/>
  <cols>
    <col min="1" max="1" width="3.8515625" style="0" customWidth="1"/>
    <col min="2" max="2" width="34.57421875" style="0" customWidth="1"/>
    <col min="3" max="3" width="8.421875" style="0" customWidth="1"/>
    <col min="4" max="4" width="12.00390625" style="88" customWidth="1"/>
    <col min="5" max="5" width="11.28125" style="88" customWidth="1"/>
    <col min="6" max="6" width="12.28125" style="88" customWidth="1"/>
    <col min="7" max="7" width="11.28125" style="88" customWidth="1"/>
    <col min="8" max="11" width="9.8515625" style="88" customWidth="1"/>
    <col min="12" max="12" width="10.57421875" style="88" customWidth="1"/>
    <col min="13" max="13" width="9.8515625" style="88" customWidth="1"/>
  </cols>
  <sheetData>
    <row r="1" spans="2:13" ht="18.75">
      <c r="B1" s="123" t="s">
        <v>0</v>
      </c>
      <c r="C1" s="123"/>
      <c r="D1" s="123"/>
      <c r="E1" s="1"/>
      <c r="F1" s="1"/>
      <c r="G1" s="1"/>
      <c r="H1" s="1"/>
      <c r="I1" s="1"/>
      <c r="J1" s="1"/>
      <c r="K1" s="1"/>
      <c r="L1" s="1"/>
      <c r="M1" s="1"/>
    </row>
    <row r="2" spans="2:8" ht="18.75">
      <c r="B2" s="123" t="s">
        <v>1</v>
      </c>
      <c r="C2" s="123"/>
      <c r="D2" s="123"/>
      <c r="E2" s="69"/>
      <c r="F2" s="87"/>
      <c r="G2" s="87"/>
      <c r="H2" s="87"/>
    </row>
    <row r="3" ht="8.25" customHeight="1">
      <c r="D3" s="1"/>
    </row>
    <row r="4" spans="1:13" s="2" customFormat="1" ht="18.75">
      <c r="A4" s="123" t="s">
        <v>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4" s="2" customFormat="1" ht="18.75">
      <c r="A5" s="123" t="s">
        <v>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2">
        <f>POWER(J20/E20,1/5)</f>
        <v>1.1798820358370434</v>
      </c>
    </row>
    <row r="6" spans="1:13" s="2" customFormat="1" ht="18.75">
      <c r="A6" s="124" t="s">
        <v>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s="4" customFormat="1" ht="33.75" customHeight="1">
      <c r="A7" s="114" t="s">
        <v>5</v>
      </c>
      <c r="B7" s="114" t="s">
        <v>6</v>
      </c>
      <c r="C7" s="114" t="s">
        <v>7</v>
      </c>
      <c r="D7" s="114" t="s">
        <v>148</v>
      </c>
      <c r="E7" s="114" t="s">
        <v>8</v>
      </c>
      <c r="F7" s="111" t="s">
        <v>9</v>
      </c>
      <c r="G7" s="112"/>
      <c r="H7" s="112"/>
      <c r="I7" s="112"/>
      <c r="J7" s="112"/>
      <c r="K7" s="113"/>
      <c r="L7" s="114" t="s">
        <v>10</v>
      </c>
      <c r="M7" s="117" t="s">
        <v>11</v>
      </c>
    </row>
    <row r="8" spans="1:13" s="4" customFormat="1" ht="15.75" customHeight="1">
      <c r="A8" s="115" t="s">
        <v>12</v>
      </c>
      <c r="B8" s="115"/>
      <c r="C8" s="115"/>
      <c r="D8" s="115"/>
      <c r="E8" s="115" t="s">
        <v>13</v>
      </c>
      <c r="F8" s="117" t="s">
        <v>14</v>
      </c>
      <c r="G8" s="117" t="s">
        <v>15</v>
      </c>
      <c r="H8" s="117" t="s">
        <v>16</v>
      </c>
      <c r="I8" s="117" t="s">
        <v>17</v>
      </c>
      <c r="J8" s="117" t="s">
        <v>18</v>
      </c>
      <c r="K8" s="120" t="s">
        <v>19</v>
      </c>
      <c r="L8" s="115"/>
      <c r="M8" s="118"/>
    </row>
    <row r="9" spans="1:13" s="4" customFormat="1" ht="15.75">
      <c r="A9" s="115" t="s">
        <v>20</v>
      </c>
      <c r="B9" s="115" t="s">
        <v>6</v>
      </c>
      <c r="C9" s="115"/>
      <c r="D9" s="115"/>
      <c r="E9" s="115" t="s">
        <v>21</v>
      </c>
      <c r="F9" s="118"/>
      <c r="G9" s="118">
        <v>2012</v>
      </c>
      <c r="H9" s="118">
        <v>2013</v>
      </c>
      <c r="I9" s="118">
        <v>2014</v>
      </c>
      <c r="J9" s="118">
        <v>2015</v>
      </c>
      <c r="K9" s="121"/>
      <c r="L9" s="115"/>
      <c r="M9" s="118"/>
    </row>
    <row r="10" spans="1:13" s="4" customFormat="1" ht="46.5" customHeight="1">
      <c r="A10" s="116" t="s">
        <v>20</v>
      </c>
      <c r="B10" s="116"/>
      <c r="C10" s="116"/>
      <c r="D10" s="116"/>
      <c r="E10" s="116">
        <v>2010</v>
      </c>
      <c r="F10" s="119"/>
      <c r="G10" s="119"/>
      <c r="H10" s="119"/>
      <c r="I10" s="119"/>
      <c r="J10" s="119"/>
      <c r="K10" s="122"/>
      <c r="L10" s="116"/>
      <c r="M10" s="119"/>
    </row>
    <row r="11" spans="1:13" s="2" customFormat="1" ht="16.5">
      <c r="A11" s="6" t="s">
        <v>22</v>
      </c>
      <c r="B11" s="7" t="s">
        <v>23</v>
      </c>
      <c r="C11" s="7" t="s">
        <v>24</v>
      </c>
      <c r="D11" s="7" t="s">
        <v>25</v>
      </c>
      <c r="E11" s="7">
        <v>1</v>
      </c>
      <c r="F11" s="7">
        <v>2</v>
      </c>
      <c r="G11" s="7">
        <v>3</v>
      </c>
      <c r="H11" s="7">
        <v>4</v>
      </c>
      <c r="I11" s="7">
        <v>5</v>
      </c>
      <c r="J11" s="7">
        <v>6</v>
      </c>
      <c r="K11" s="7">
        <v>7</v>
      </c>
      <c r="L11" s="8">
        <v>10</v>
      </c>
      <c r="M11" s="8">
        <v>11</v>
      </c>
    </row>
    <row r="12" spans="1:13" s="2" customFormat="1" ht="15.75">
      <c r="A12" s="3" t="s">
        <v>22</v>
      </c>
      <c r="B12" s="9" t="s">
        <v>26</v>
      </c>
      <c r="C12" s="10"/>
      <c r="D12" s="11"/>
      <c r="E12" s="11"/>
      <c r="F12" s="11"/>
      <c r="G12" s="11"/>
      <c r="H12" s="12"/>
      <c r="I12" s="11"/>
      <c r="J12" s="99"/>
      <c r="K12" s="11"/>
      <c r="L12" s="13"/>
      <c r="M12" s="14"/>
    </row>
    <row r="13" spans="1:13" s="22" customFormat="1" ht="15.75">
      <c r="A13" s="5">
        <v>1</v>
      </c>
      <c r="B13" s="15" t="s">
        <v>27</v>
      </c>
      <c r="C13" s="16" t="s">
        <v>28</v>
      </c>
      <c r="D13" s="18">
        <v>106500</v>
      </c>
      <c r="E13" s="17">
        <v>99208</v>
      </c>
      <c r="F13" s="41">
        <v>99844</v>
      </c>
      <c r="G13" s="41">
        <v>100375</v>
      </c>
      <c r="H13" s="17">
        <v>101276</v>
      </c>
      <c r="I13" s="98">
        <v>101941</v>
      </c>
      <c r="J13" s="98">
        <v>102800</v>
      </c>
      <c r="K13" s="21">
        <f aca="true" t="shared" si="0" ref="K13:K20">((J13/E13)^(1/5)-1)*100</f>
        <v>0.7138699258089298</v>
      </c>
      <c r="L13" s="18">
        <v>109000</v>
      </c>
      <c r="M13" s="21">
        <f>((L13/J13)^(1/5)-1)*100</f>
        <v>1.1781365816508682</v>
      </c>
    </row>
    <row r="14" spans="1:13" s="2" customFormat="1" ht="16.5">
      <c r="A14" s="23"/>
      <c r="B14" s="24" t="s">
        <v>29</v>
      </c>
      <c r="C14" s="25" t="s">
        <v>30</v>
      </c>
      <c r="D14" s="101">
        <v>8</v>
      </c>
      <c r="E14" s="26">
        <v>8.44</v>
      </c>
      <c r="F14" s="26">
        <v>8.33</v>
      </c>
      <c r="G14" s="26">
        <v>10.85</v>
      </c>
      <c r="H14" s="27">
        <v>5.2</v>
      </c>
      <c r="I14" s="27">
        <v>6.4</v>
      </c>
      <c r="J14" s="27">
        <v>5.1</v>
      </c>
      <c r="K14" s="21">
        <f t="shared" si="0"/>
        <v>-9.58394671556726</v>
      </c>
      <c r="L14" s="27">
        <v>8</v>
      </c>
      <c r="M14" s="21">
        <f aca="true" t="shared" si="1" ref="M14:M72">((L14/J14)^(1/5)-1)*100</f>
        <v>9.421827082218993</v>
      </c>
    </row>
    <row r="15" spans="1:13" s="2" customFormat="1" ht="16.5">
      <c r="A15" s="23"/>
      <c r="B15" s="24" t="s">
        <v>31</v>
      </c>
      <c r="C15" s="25" t="s">
        <v>30</v>
      </c>
      <c r="D15" s="101">
        <v>9.8</v>
      </c>
      <c r="E15" s="26">
        <v>11.76</v>
      </c>
      <c r="F15" s="27">
        <v>10.86</v>
      </c>
      <c r="G15" s="27">
        <v>15.58</v>
      </c>
      <c r="H15" s="27">
        <v>10</v>
      </c>
      <c r="I15" s="27">
        <v>10.9</v>
      </c>
      <c r="J15" s="27">
        <v>10.16</v>
      </c>
      <c r="K15" s="32">
        <f t="shared" si="0"/>
        <v>-2.882548530079021</v>
      </c>
      <c r="L15" s="27">
        <v>10.5</v>
      </c>
      <c r="M15" s="21">
        <f t="shared" si="1"/>
        <v>0.660508096976975</v>
      </c>
    </row>
    <row r="16" spans="1:13" s="2" customFormat="1" ht="16.5">
      <c r="A16" s="23"/>
      <c r="B16" s="24" t="s">
        <v>32</v>
      </c>
      <c r="C16" s="25" t="s">
        <v>30</v>
      </c>
      <c r="D16" s="101">
        <v>0.6</v>
      </c>
      <c r="E16" s="26">
        <f>E15-12.76</f>
        <v>-1</v>
      </c>
      <c r="F16" s="27">
        <f>F15-E15</f>
        <v>-0.9000000000000004</v>
      </c>
      <c r="G16" s="27">
        <f>G15-F15</f>
        <v>4.720000000000001</v>
      </c>
      <c r="H16" s="27">
        <f>H15-G15</f>
        <v>-5.58</v>
      </c>
      <c r="I16" s="27">
        <f>I15-H15</f>
        <v>0.9000000000000004</v>
      </c>
      <c r="J16" s="27">
        <f>J15-I15</f>
        <v>-0.7400000000000002</v>
      </c>
      <c r="K16" s="32">
        <f t="shared" si="0"/>
        <v>-5.844359085326611</v>
      </c>
      <c r="L16" s="27">
        <v>0.6</v>
      </c>
      <c r="M16" s="21"/>
    </row>
    <row r="17" spans="1:13" s="2" customFormat="1" ht="16.5">
      <c r="A17" s="29">
        <v>2</v>
      </c>
      <c r="B17" s="15" t="s">
        <v>33</v>
      </c>
      <c r="C17" s="16" t="s">
        <v>28</v>
      </c>
      <c r="D17" s="102">
        <v>76700</v>
      </c>
      <c r="E17" s="20">
        <v>64300</v>
      </c>
      <c r="F17" s="20">
        <v>64600</v>
      </c>
      <c r="G17" s="20">
        <v>65200</v>
      </c>
      <c r="H17" s="20">
        <v>65900</v>
      </c>
      <c r="I17" s="20">
        <v>66600</v>
      </c>
      <c r="J17" s="20">
        <v>67600</v>
      </c>
      <c r="K17" s="21">
        <f t="shared" si="0"/>
        <v>1.0059934681209581</v>
      </c>
      <c r="L17" s="20">
        <v>70820</v>
      </c>
      <c r="M17" s="21">
        <f t="shared" si="1"/>
        <v>0.9350134654029452</v>
      </c>
    </row>
    <row r="18" spans="1:13" s="2" customFormat="1" ht="16.5">
      <c r="A18" s="23"/>
      <c r="B18" s="30" t="s">
        <v>34</v>
      </c>
      <c r="C18" s="16" t="s">
        <v>28</v>
      </c>
      <c r="D18" s="35">
        <v>70104</v>
      </c>
      <c r="E18" s="18">
        <v>63110</v>
      </c>
      <c r="F18" s="18">
        <v>63400</v>
      </c>
      <c r="G18" s="18">
        <v>64000</v>
      </c>
      <c r="H18" s="18">
        <v>64880</v>
      </c>
      <c r="I18" s="18">
        <v>65300</v>
      </c>
      <c r="J18" s="18">
        <v>66400</v>
      </c>
      <c r="K18" s="21">
        <f t="shared" si="0"/>
        <v>1.0215388620520294</v>
      </c>
      <c r="L18" s="18">
        <v>69500</v>
      </c>
      <c r="M18" s="21">
        <f t="shared" si="1"/>
        <v>0.9167707562747429</v>
      </c>
    </row>
    <row r="19" spans="1:13" s="2" customFormat="1" ht="25.5">
      <c r="A19" s="23"/>
      <c r="B19" s="31" t="s">
        <v>35</v>
      </c>
      <c r="C19" s="25" t="s">
        <v>28</v>
      </c>
      <c r="D19" s="26">
        <v>63000</v>
      </c>
      <c r="E19" s="26">
        <v>59950</v>
      </c>
      <c r="F19" s="26">
        <v>60230</v>
      </c>
      <c r="G19" s="26">
        <v>60800</v>
      </c>
      <c r="H19" s="26">
        <v>61400</v>
      </c>
      <c r="I19" s="26">
        <v>62050</v>
      </c>
      <c r="J19" s="26">
        <v>63000</v>
      </c>
      <c r="K19" s="32">
        <f t="shared" si="0"/>
        <v>0.9974182841707036</v>
      </c>
      <c r="L19" s="26">
        <f>L18*95%</f>
        <v>66025</v>
      </c>
      <c r="M19" s="21">
        <f t="shared" si="1"/>
        <v>0.9423874040116687</v>
      </c>
    </row>
    <row r="20" spans="1:13" s="2" customFormat="1" ht="21">
      <c r="A20" s="29">
        <v>3</v>
      </c>
      <c r="B20" s="81" t="s">
        <v>145</v>
      </c>
      <c r="C20" s="16" t="s">
        <v>36</v>
      </c>
      <c r="D20" s="103">
        <f>SUM(D21:D23)</f>
        <v>4508783</v>
      </c>
      <c r="E20" s="70">
        <f aca="true" t="shared" si="2" ref="E20:J20">SUM(E21:E23)</f>
        <v>1537173</v>
      </c>
      <c r="F20" s="70">
        <f t="shared" si="2"/>
        <v>2015559</v>
      </c>
      <c r="G20" s="70">
        <f t="shared" si="2"/>
        <v>2403027</v>
      </c>
      <c r="H20" s="70">
        <f t="shared" si="2"/>
        <v>2765169</v>
      </c>
      <c r="I20" s="71">
        <f t="shared" si="2"/>
        <v>3101823</v>
      </c>
      <c r="J20" s="71">
        <f t="shared" si="2"/>
        <v>3514922</v>
      </c>
      <c r="K20" s="21">
        <f t="shared" si="0"/>
        <v>17.988203583704344</v>
      </c>
      <c r="L20" s="82"/>
      <c r="M20" s="21"/>
    </row>
    <row r="21" spans="1:13" s="2" customFormat="1" ht="16.5">
      <c r="A21" s="23"/>
      <c r="B21" s="24" t="s">
        <v>143</v>
      </c>
      <c r="C21" s="25" t="s">
        <v>36</v>
      </c>
      <c r="D21" s="104">
        <v>1420667</v>
      </c>
      <c r="E21" s="73">
        <v>640134</v>
      </c>
      <c r="F21" s="73">
        <v>814324</v>
      </c>
      <c r="G21" s="73">
        <v>920536</v>
      </c>
      <c r="H21" s="73">
        <v>1000433</v>
      </c>
      <c r="I21" s="74">
        <v>1102114</v>
      </c>
      <c r="J21" s="74">
        <v>1217349</v>
      </c>
      <c r="K21" s="75">
        <f aca="true" t="shared" si="3" ref="K21:K26">((J21/E21)^(1/5)-1)*100</f>
        <v>13.717902777199797</v>
      </c>
      <c r="L21" s="82"/>
      <c r="M21" s="21"/>
    </row>
    <row r="22" spans="1:13" s="2" customFormat="1" ht="16.5">
      <c r="A22" s="23"/>
      <c r="B22" s="24" t="s">
        <v>144</v>
      </c>
      <c r="C22" s="25" t="s">
        <v>36</v>
      </c>
      <c r="D22" s="104">
        <v>1555397</v>
      </c>
      <c r="E22" s="73">
        <v>450229</v>
      </c>
      <c r="F22" s="73">
        <v>602237</v>
      </c>
      <c r="G22" s="73">
        <f>'[3]TKQG 21-22_R'!$D$25</f>
        <v>730958</v>
      </c>
      <c r="H22" s="73">
        <v>858204</v>
      </c>
      <c r="I22" s="74">
        <v>947070</v>
      </c>
      <c r="J22" s="74">
        <v>1086000</v>
      </c>
      <c r="K22" s="75">
        <f t="shared" si="3"/>
        <v>19.255734617067688</v>
      </c>
      <c r="L22" s="82"/>
      <c r="M22" s="21"/>
    </row>
    <row r="23" spans="1:13" s="2" customFormat="1" ht="16.5">
      <c r="A23" s="23"/>
      <c r="B23" s="24" t="s">
        <v>38</v>
      </c>
      <c r="C23" s="25" t="s">
        <v>36</v>
      </c>
      <c r="D23" s="73">
        <v>1532719</v>
      </c>
      <c r="E23" s="73">
        <v>446810</v>
      </c>
      <c r="F23" s="73">
        <v>598998</v>
      </c>
      <c r="G23" s="73">
        <v>751533</v>
      </c>
      <c r="H23" s="73">
        <v>906532</v>
      </c>
      <c r="I23" s="74">
        <v>1052639</v>
      </c>
      <c r="J23" s="74">
        <v>1211573</v>
      </c>
      <c r="K23" s="75">
        <f t="shared" si="3"/>
        <v>22.080230444745585</v>
      </c>
      <c r="L23" s="82"/>
      <c r="M23" s="21"/>
    </row>
    <row r="24" spans="1:13" s="2" customFormat="1" ht="16.5">
      <c r="A24" s="29">
        <v>4</v>
      </c>
      <c r="B24" s="34" t="s">
        <v>150</v>
      </c>
      <c r="K24" s="75"/>
      <c r="M24" s="21"/>
    </row>
    <row r="25" spans="1:13" s="28" customFormat="1" ht="16.5">
      <c r="A25" s="83"/>
      <c r="B25" s="93" t="s">
        <v>146</v>
      </c>
      <c r="C25" s="85" t="s">
        <v>41</v>
      </c>
      <c r="D25" s="71">
        <f aca="true" t="shared" si="4" ref="D25:J25">D20/D13*1000</f>
        <v>42335.990610328634</v>
      </c>
      <c r="E25" s="94">
        <f t="shared" si="4"/>
        <v>15494.446012418353</v>
      </c>
      <c r="F25" s="94">
        <f t="shared" si="4"/>
        <v>20187.081847682384</v>
      </c>
      <c r="G25" s="94">
        <f t="shared" si="4"/>
        <v>23940.49315068493</v>
      </c>
      <c r="H25" s="94">
        <f t="shared" si="4"/>
        <v>27303.299893360716</v>
      </c>
      <c r="I25" s="94">
        <f t="shared" si="4"/>
        <v>30427.629707379758</v>
      </c>
      <c r="J25" s="94">
        <f t="shared" si="4"/>
        <v>34191.848249027236</v>
      </c>
      <c r="K25" s="95">
        <f t="shared" si="3"/>
        <v>17.15189146303342</v>
      </c>
      <c r="L25" s="94"/>
      <c r="M25" s="96"/>
    </row>
    <row r="26" spans="1:13" s="28" customFormat="1" ht="16.5">
      <c r="A26" s="83"/>
      <c r="B26" s="93" t="s">
        <v>147</v>
      </c>
      <c r="C26" s="85"/>
      <c r="D26" s="100">
        <f>D25/21.7</f>
        <v>1950.9673092317344</v>
      </c>
      <c r="E26" s="100">
        <v>795.3</v>
      </c>
      <c r="F26" s="100">
        <v>969.4</v>
      </c>
      <c r="G26" s="100">
        <v>1144.6</v>
      </c>
      <c r="H26" s="100">
        <v>1286.1</v>
      </c>
      <c r="I26" s="100">
        <v>1407.5</v>
      </c>
      <c r="J26" s="97">
        <v>1575.6</v>
      </c>
      <c r="K26" s="95">
        <f t="shared" si="3"/>
        <v>14.652359809161176</v>
      </c>
      <c r="L26" s="97"/>
      <c r="M26" s="96"/>
    </row>
    <row r="27" spans="1:13" s="2" customFormat="1" ht="16.5">
      <c r="A27" s="29">
        <v>5</v>
      </c>
      <c r="B27" s="15" t="s">
        <v>40</v>
      </c>
      <c r="C27" s="16" t="s">
        <v>37</v>
      </c>
      <c r="D27" s="76">
        <v>100</v>
      </c>
      <c r="E27" s="76">
        <v>100</v>
      </c>
      <c r="F27" s="76">
        <v>100</v>
      </c>
      <c r="G27" s="76">
        <v>100</v>
      </c>
      <c r="H27" s="76">
        <f>SUM(H28:H30)</f>
        <v>100</v>
      </c>
      <c r="I27" s="76">
        <f>SUM(I28:I30)</f>
        <v>100</v>
      </c>
      <c r="J27" s="76">
        <f>SUM(J28:J30)</f>
        <v>100</v>
      </c>
      <c r="K27" s="79"/>
      <c r="L27" s="89"/>
      <c r="M27" s="21"/>
    </row>
    <row r="28" spans="1:13" s="2" customFormat="1" ht="16.5">
      <c r="A28" s="23"/>
      <c r="B28" s="24" t="s">
        <v>143</v>
      </c>
      <c r="C28" s="25" t="s">
        <v>37</v>
      </c>
      <c r="D28" s="77">
        <f>D21/D20*100</f>
        <v>31.50887944707031</v>
      </c>
      <c r="E28" s="77">
        <f>E21/E20*100</f>
        <v>41.64358858762156</v>
      </c>
      <c r="F28" s="77">
        <f>F21/F20%</f>
        <v>40.40189346975206</v>
      </c>
      <c r="G28" s="78">
        <f>G21/G20%</f>
        <v>38.307351519562616</v>
      </c>
      <c r="H28" s="78">
        <f>H21/H20%</f>
        <v>36.17981396435444</v>
      </c>
      <c r="I28" s="78">
        <f>I21/I20%</f>
        <v>35.5311698958967</v>
      </c>
      <c r="J28" s="78">
        <f>J21/J20%</f>
        <v>34.63374151688146</v>
      </c>
      <c r="K28" s="75"/>
      <c r="L28" s="90"/>
      <c r="M28" s="21"/>
    </row>
    <row r="29" spans="1:13" s="2" customFormat="1" ht="16.5">
      <c r="A29" s="23"/>
      <c r="B29" s="24" t="s">
        <v>144</v>
      </c>
      <c r="C29" s="25" t="s">
        <v>37</v>
      </c>
      <c r="D29" s="77">
        <f>D22/D20*100</f>
        <v>34.49704720763896</v>
      </c>
      <c r="E29" s="77">
        <f>E22/E20*100</f>
        <v>29.2894163506645</v>
      </c>
      <c r="F29" s="77">
        <f>F22/F20%</f>
        <v>29.87940318293833</v>
      </c>
      <c r="G29" s="78">
        <f>G22/G20%</f>
        <v>30.418218355432543</v>
      </c>
      <c r="H29" s="78">
        <f>H22/H20%</f>
        <v>31.036222379174657</v>
      </c>
      <c r="I29" s="78">
        <f>I22/I20%</f>
        <v>30.532689969737152</v>
      </c>
      <c r="J29" s="78">
        <f>J22/J20%</f>
        <v>30.896844937099598</v>
      </c>
      <c r="K29" s="75"/>
      <c r="L29" s="90"/>
      <c r="M29" s="21"/>
    </row>
    <row r="30" spans="1:13" s="2" customFormat="1" ht="16.5">
      <c r="A30" s="23"/>
      <c r="B30" s="24" t="s">
        <v>38</v>
      </c>
      <c r="C30" s="25" t="s">
        <v>37</v>
      </c>
      <c r="D30" s="77">
        <f>D23/D20*100</f>
        <v>33.99407334529074</v>
      </c>
      <c r="E30" s="77">
        <f>E23/E20*100</f>
        <v>29.06699506171394</v>
      </c>
      <c r="F30" s="77">
        <f>F23/F20%</f>
        <v>29.718703347309603</v>
      </c>
      <c r="G30" s="78">
        <f>G23/G20%</f>
        <v>31.274430125004837</v>
      </c>
      <c r="H30" s="78">
        <f>H23/H20%</f>
        <v>32.78396365647091</v>
      </c>
      <c r="I30" s="78">
        <f>I23/I20%</f>
        <v>33.93614013436615</v>
      </c>
      <c r="J30" s="78">
        <f>J23/J20%</f>
        <v>34.46941354601894</v>
      </c>
      <c r="K30" s="75"/>
      <c r="L30" s="90"/>
      <c r="M30" s="21"/>
    </row>
    <row r="31" spans="1:13" s="86" customFormat="1" ht="21">
      <c r="A31" s="83">
        <v>6</v>
      </c>
      <c r="B31" s="84" t="s">
        <v>149</v>
      </c>
      <c r="C31" s="85" t="s">
        <v>36</v>
      </c>
      <c r="D31" s="91">
        <f>SUM(D32:D34)</f>
        <v>917845</v>
      </c>
      <c r="E31" s="91">
        <v>518518</v>
      </c>
      <c r="F31" s="91">
        <f>'[3]TKQG 21-22_R'!$B$9</f>
        <v>572836</v>
      </c>
      <c r="G31" s="91">
        <f>'[3]TKQG 21-22_R'!$B$10</f>
        <v>622338</v>
      </c>
      <c r="H31" s="91">
        <f>SUM(H32:H34)</f>
        <v>667065</v>
      </c>
      <c r="I31" s="91">
        <f>SUM(I32:I34)</f>
        <v>717567</v>
      </c>
      <c r="J31" s="91">
        <f>SUM(J32:J34)</f>
        <v>769552</v>
      </c>
      <c r="K31" s="72">
        <f>((J31/E31)^(1/5)-1)*100</f>
        <v>8.216834689620889</v>
      </c>
      <c r="L31" s="82"/>
      <c r="M31" s="21"/>
    </row>
    <row r="32" spans="1:13" s="2" customFormat="1" ht="16.5">
      <c r="A32" s="23"/>
      <c r="B32" s="24" t="s">
        <v>143</v>
      </c>
      <c r="C32" s="25" t="s">
        <v>36</v>
      </c>
      <c r="D32" s="105">
        <v>364710</v>
      </c>
      <c r="E32" s="33">
        <v>266441</v>
      </c>
      <c r="F32" s="33">
        <f>'[3]TKQG 21-22_R'!$C$9</f>
        <v>286687</v>
      </c>
      <c r="G32" s="33">
        <f>'[3]TKQG 21-22_R'!$C$10</f>
        <v>304316</v>
      </c>
      <c r="H32" s="33">
        <v>315380</v>
      </c>
      <c r="I32" s="33">
        <v>335129</v>
      </c>
      <c r="J32" s="33">
        <v>355756</v>
      </c>
      <c r="K32" s="75">
        <f>((J32/E32)^(1/5)-1)*100</f>
        <v>5.952262655172413</v>
      </c>
      <c r="L32" s="92"/>
      <c r="M32" s="21"/>
    </row>
    <row r="33" spans="1:13" s="2" customFormat="1" ht="16.5">
      <c r="A33" s="23"/>
      <c r="B33" s="24" t="s">
        <v>144</v>
      </c>
      <c r="C33" s="25" t="s">
        <v>36</v>
      </c>
      <c r="D33" s="105">
        <v>227304</v>
      </c>
      <c r="E33" s="33">
        <v>82835</v>
      </c>
      <c r="F33" s="33">
        <f>'[3]TKQG 21-22_R'!$D$9</f>
        <v>93860</v>
      </c>
      <c r="G33" s="33">
        <f>'[3]TKQG 21-22_R'!$D$10</f>
        <v>102721</v>
      </c>
      <c r="H33" s="33">
        <v>111254</v>
      </c>
      <c r="I33" s="33">
        <v>120106</v>
      </c>
      <c r="J33" s="33">
        <v>128997</v>
      </c>
      <c r="K33" s="75">
        <f>((J33/E33)^(1/5)-1)*100</f>
        <v>9.263006570406285</v>
      </c>
      <c r="L33" s="92"/>
      <c r="M33" s="21"/>
    </row>
    <row r="34" spans="1:13" s="2" customFormat="1" ht="16.5">
      <c r="A34" s="23"/>
      <c r="B34" s="24" t="s">
        <v>38</v>
      </c>
      <c r="C34" s="25" t="s">
        <v>36</v>
      </c>
      <c r="D34" s="33">
        <v>325831</v>
      </c>
      <c r="E34" s="33">
        <f>E31-E32-E33</f>
        <v>169242</v>
      </c>
      <c r="F34" s="33">
        <f>F31-F32-F33</f>
        <v>192289</v>
      </c>
      <c r="G34" s="33">
        <f>G31-G32-G33</f>
        <v>215301</v>
      </c>
      <c r="H34" s="33">
        <v>240431</v>
      </c>
      <c r="I34" s="33">
        <v>262332</v>
      </c>
      <c r="J34" s="33">
        <v>284799</v>
      </c>
      <c r="K34" s="75">
        <f>((J34/E34)^(1/5)-1)*100</f>
        <v>10.970121675443178</v>
      </c>
      <c r="L34" s="92"/>
      <c r="M34" s="21"/>
    </row>
    <row r="35" spans="1:13" s="28" customFormat="1" ht="16.5">
      <c r="A35" s="29">
        <v>7</v>
      </c>
      <c r="B35" s="43" t="s">
        <v>151</v>
      </c>
      <c r="C35" s="16" t="s">
        <v>37</v>
      </c>
      <c r="D35" s="79">
        <v>18</v>
      </c>
      <c r="E35" s="79">
        <v>11.39</v>
      </c>
      <c r="F35" s="79">
        <v>10.48</v>
      </c>
      <c r="G35" s="79">
        <v>8.64</v>
      </c>
      <c r="H35" s="79">
        <v>7.19</v>
      </c>
      <c r="I35" s="79">
        <v>7.57</v>
      </c>
      <c r="J35" s="79">
        <v>7.24</v>
      </c>
      <c r="K35" s="75"/>
      <c r="L35" s="90"/>
      <c r="M35" s="90"/>
    </row>
    <row r="36" spans="1:13" s="2" customFormat="1" ht="16.5">
      <c r="A36" s="23"/>
      <c r="B36" s="24" t="s">
        <v>143</v>
      </c>
      <c r="C36" s="25" t="s">
        <v>37</v>
      </c>
      <c r="D36" s="106">
        <v>7.7</v>
      </c>
      <c r="E36" s="79">
        <v>8.59</v>
      </c>
      <c r="F36" s="79">
        <v>7.6</v>
      </c>
      <c r="G36" s="79">
        <v>6.15</v>
      </c>
      <c r="H36" s="79">
        <v>3.64</v>
      </c>
      <c r="I36" s="79">
        <v>6.26</v>
      </c>
      <c r="J36" s="79">
        <v>6.15</v>
      </c>
      <c r="K36" s="75"/>
      <c r="L36" s="90"/>
      <c r="M36" s="90"/>
    </row>
    <row r="37" spans="1:13" s="2" customFormat="1" ht="16.5">
      <c r="A37" s="23"/>
      <c r="B37" s="24" t="s">
        <v>144</v>
      </c>
      <c r="C37" s="25" t="s">
        <v>37</v>
      </c>
      <c r="D37" s="106">
        <v>19</v>
      </c>
      <c r="E37" s="79">
        <v>15</v>
      </c>
      <c r="F37" s="80">
        <v>13.31</v>
      </c>
      <c r="G37" s="79">
        <v>9.44</v>
      </c>
      <c r="H37" s="79">
        <v>8.31</v>
      </c>
      <c r="I37" s="79">
        <v>7.96</v>
      </c>
      <c r="J37" s="79">
        <v>7.4</v>
      </c>
      <c r="K37" s="75"/>
      <c r="L37" s="90"/>
      <c r="M37" s="90"/>
    </row>
    <row r="38" spans="1:13" s="2" customFormat="1" ht="16.5">
      <c r="A38" s="23"/>
      <c r="B38" s="24" t="s">
        <v>38</v>
      </c>
      <c r="C38" s="25" t="s">
        <v>37</v>
      </c>
      <c r="D38" s="106">
        <v>18</v>
      </c>
      <c r="E38" s="79">
        <v>14.28</v>
      </c>
      <c r="F38" s="80">
        <v>13.62</v>
      </c>
      <c r="G38" s="79">
        <v>11.97</v>
      </c>
      <c r="H38" s="79">
        <v>11.67</v>
      </c>
      <c r="I38" s="79">
        <v>9.11</v>
      </c>
      <c r="J38" s="79">
        <v>8.56</v>
      </c>
      <c r="K38" s="75"/>
      <c r="L38" s="90"/>
      <c r="M38" s="90"/>
    </row>
    <row r="39" spans="1:13" s="2" customFormat="1" ht="16.5">
      <c r="A39" s="29">
        <v>8</v>
      </c>
      <c r="B39" s="34" t="s">
        <v>42</v>
      </c>
      <c r="C39" s="16" t="s">
        <v>36</v>
      </c>
      <c r="D39" s="18">
        <v>154200</v>
      </c>
      <c r="E39" s="18">
        <v>66318</v>
      </c>
      <c r="F39" s="18">
        <v>92038</v>
      </c>
      <c r="G39" s="18">
        <v>102058</v>
      </c>
      <c r="H39" s="18">
        <v>141794</v>
      </c>
      <c r="I39" s="20">
        <v>150000</v>
      </c>
      <c r="J39" s="20">
        <v>154500</v>
      </c>
      <c r="K39" s="21">
        <f>((J39/E39)^(1/5)-1)*100</f>
        <v>18.42936827366657</v>
      </c>
      <c r="L39" s="35"/>
      <c r="M39" s="21"/>
    </row>
    <row r="40" spans="1:13" s="2" customFormat="1" ht="16.5">
      <c r="A40" s="29">
        <v>9</v>
      </c>
      <c r="B40" s="15" t="s">
        <v>43</v>
      </c>
      <c r="C40" s="25" t="s">
        <v>36</v>
      </c>
      <c r="D40" s="18">
        <v>315000</v>
      </c>
      <c r="E40" s="18">
        <v>157918</v>
      </c>
      <c r="F40" s="18">
        <v>194845</v>
      </c>
      <c r="G40" s="18">
        <v>245693</v>
      </c>
      <c r="H40" s="18">
        <v>309881</v>
      </c>
      <c r="I40" s="20">
        <v>326738</v>
      </c>
      <c r="J40" s="20">
        <v>296231</v>
      </c>
      <c r="K40" s="21">
        <f>((J40/E40)^(1/5)-1)*100</f>
        <v>13.406976988119368</v>
      </c>
      <c r="L40" s="35">
        <v>490000</v>
      </c>
      <c r="M40" s="21">
        <f t="shared" si="1"/>
        <v>10.589301521013962</v>
      </c>
    </row>
    <row r="41" spans="1:13" s="2" customFormat="1" ht="16.5">
      <c r="A41" s="23"/>
      <c r="B41" s="24" t="s">
        <v>44</v>
      </c>
      <c r="C41" s="25" t="s">
        <v>36</v>
      </c>
      <c r="D41" s="107">
        <v>19000</v>
      </c>
      <c r="E41" s="36">
        <v>24405</v>
      </c>
      <c r="F41" s="36">
        <v>28816</v>
      </c>
      <c r="G41" s="36">
        <v>25658</v>
      </c>
      <c r="H41" s="37">
        <v>35726</v>
      </c>
      <c r="I41" s="37">
        <v>36016</v>
      </c>
      <c r="J41" s="37">
        <v>37314</v>
      </c>
      <c r="K41" s="32">
        <f>((J41/E41)^(1/5)-1)*100</f>
        <v>8.862574066953766</v>
      </c>
      <c r="L41" s="36">
        <v>20000</v>
      </c>
      <c r="M41" s="21">
        <f t="shared" si="1"/>
        <v>-11.726237552582075</v>
      </c>
    </row>
    <row r="42" spans="1:13" s="2" customFormat="1" ht="22.5" customHeight="1">
      <c r="A42" s="29" t="s">
        <v>23</v>
      </c>
      <c r="B42" s="34" t="s">
        <v>45</v>
      </c>
      <c r="C42" s="16"/>
      <c r="D42" s="35"/>
      <c r="E42" s="35"/>
      <c r="F42" s="35"/>
      <c r="G42" s="35"/>
      <c r="H42" s="35"/>
      <c r="I42" s="35"/>
      <c r="J42" s="35"/>
      <c r="K42" s="21"/>
      <c r="L42" s="35"/>
      <c r="M42" s="21"/>
    </row>
    <row r="43" spans="1:13" s="2" customFormat="1" ht="16.5">
      <c r="A43" s="29" t="s">
        <v>46</v>
      </c>
      <c r="B43" s="15" t="s">
        <v>47</v>
      </c>
      <c r="C43" s="25"/>
      <c r="D43" s="26"/>
      <c r="E43" s="26"/>
      <c r="F43" s="26"/>
      <c r="G43" s="26"/>
      <c r="H43" s="26"/>
      <c r="I43" s="26"/>
      <c r="J43" s="26"/>
      <c r="K43" s="21"/>
      <c r="L43" s="26"/>
      <c r="M43" s="21"/>
    </row>
    <row r="44" spans="1:13" s="2" customFormat="1" ht="16.5">
      <c r="A44" s="29">
        <v>1</v>
      </c>
      <c r="B44" s="38" t="s">
        <v>48</v>
      </c>
      <c r="C44" s="25"/>
      <c r="D44" s="26"/>
      <c r="E44" s="26"/>
      <c r="F44" s="26"/>
      <c r="G44" s="26"/>
      <c r="H44" s="26"/>
      <c r="I44" s="26"/>
      <c r="J44" s="26"/>
      <c r="K44" s="21"/>
      <c r="L44" s="26"/>
      <c r="M44" s="21"/>
    </row>
    <row r="45" spans="1:13" s="2" customFormat="1" ht="16.5">
      <c r="A45" s="29" t="s">
        <v>39</v>
      </c>
      <c r="B45" s="15" t="s">
        <v>49</v>
      </c>
      <c r="C45" s="16" t="s">
        <v>50</v>
      </c>
      <c r="D45" s="19">
        <v>42500</v>
      </c>
      <c r="E45" s="19">
        <f aca="true" t="shared" si="5" ref="E45:J45">SUM(E46:E47)</f>
        <v>40034</v>
      </c>
      <c r="F45" s="19">
        <f t="shared" si="5"/>
        <v>44062</v>
      </c>
      <c r="G45" s="19">
        <f t="shared" si="5"/>
        <v>40088</v>
      </c>
      <c r="H45" s="19">
        <f t="shared" si="5"/>
        <v>38057.3</v>
      </c>
      <c r="I45" s="19">
        <f t="shared" si="5"/>
        <v>40125</v>
      </c>
      <c r="J45" s="19">
        <f t="shared" si="5"/>
        <v>38000</v>
      </c>
      <c r="K45" s="21">
        <f>((J45/E45)^(1/5)-1)*100</f>
        <v>-1.0374397494232523</v>
      </c>
      <c r="L45" s="18">
        <v>35500</v>
      </c>
      <c r="M45" s="21">
        <f t="shared" si="1"/>
        <v>-1.3518485978081252</v>
      </c>
    </row>
    <row r="46" spans="1:13" s="2" customFormat="1" ht="16.5">
      <c r="A46" s="23"/>
      <c r="B46" s="24" t="s">
        <v>51</v>
      </c>
      <c r="C46" s="25" t="s">
        <v>50</v>
      </c>
      <c r="D46" s="39"/>
      <c r="E46" s="39">
        <v>33530</v>
      </c>
      <c r="F46" s="39">
        <v>34394</v>
      </c>
      <c r="G46" s="39">
        <v>31901</v>
      </c>
      <c r="H46" s="40">
        <v>29148</v>
      </c>
      <c r="I46" s="40">
        <v>27839</v>
      </c>
      <c r="J46" s="40">
        <v>27000</v>
      </c>
      <c r="K46" s="32">
        <f>((J46/E46)^(1/5)-1)*100</f>
        <v>-4.23958001069471</v>
      </c>
      <c r="L46" s="36">
        <v>23500</v>
      </c>
      <c r="M46" s="21">
        <f t="shared" si="1"/>
        <v>-2.7385321369566618</v>
      </c>
    </row>
    <row r="47" spans="1:13" s="2" customFormat="1" ht="16.5">
      <c r="A47" s="23"/>
      <c r="B47" s="24" t="s">
        <v>52</v>
      </c>
      <c r="C47" s="25" t="s">
        <v>50</v>
      </c>
      <c r="D47" s="39"/>
      <c r="E47" s="39">
        <v>6504</v>
      </c>
      <c r="F47" s="39">
        <v>9668</v>
      </c>
      <c r="G47" s="39">
        <v>8187</v>
      </c>
      <c r="H47" s="40">
        <v>8909.3</v>
      </c>
      <c r="I47" s="40">
        <v>12286</v>
      </c>
      <c r="J47" s="40">
        <v>11000</v>
      </c>
      <c r="K47" s="32">
        <f>((J47/E47)^(1/5)-1)*100</f>
        <v>11.081677727229877</v>
      </c>
      <c r="L47" s="36">
        <v>12000</v>
      </c>
      <c r="M47" s="21">
        <f t="shared" si="1"/>
        <v>1.7554577175587616</v>
      </c>
    </row>
    <row r="48" spans="1:13" s="2" customFormat="1" ht="16.5">
      <c r="A48" s="29" t="s">
        <v>39</v>
      </c>
      <c r="B48" s="15" t="s">
        <v>53</v>
      </c>
      <c r="C48" s="16" t="s">
        <v>50</v>
      </c>
      <c r="D48" s="19">
        <v>320000</v>
      </c>
      <c r="E48" s="19">
        <v>163119</v>
      </c>
      <c r="F48" s="19">
        <v>237260</v>
      </c>
      <c r="G48" s="19">
        <v>220636</v>
      </c>
      <c r="H48" s="20">
        <v>230422</v>
      </c>
      <c r="I48" s="20">
        <v>270500</v>
      </c>
      <c r="J48" s="20">
        <v>280000</v>
      </c>
      <c r="K48" s="21">
        <f>((J48/E48)^(1/5)-1)*100</f>
        <v>11.411673100256259</v>
      </c>
      <c r="L48" s="18">
        <v>350000</v>
      </c>
      <c r="M48" s="21">
        <f t="shared" si="1"/>
        <v>4.563955259127317</v>
      </c>
    </row>
    <row r="49" spans="1:13" s="22" customFormat="1" ht="16.5">
      <c r="A49" s="29" t="s">
        <v>39</v>
      </c>
      <c r="B49" s="15" t="s">
        <v>54</v>
      </c>
      <c r="C49" s="16" t="s">
        <v>50</v>
      </c>
      <c r="D49" s="19">
        <v>1000</v>
      </c>
      <c r="E49" s="19">
        <v>705</v>
      </c>
      <c r="F49" s="19">
        <v>564</v>
      </c>
      <c r="G49" s="19">
        <v>497</v>
      </c>
      <c r="H49" s="20">
        <v>506.6</v>
      </c>
      <c r="I49" s="20">
        <v>700</v>
      </c>
      <c r="J49" s="20">
        <v>600</v>
      </c>
      <c r="K49" s="21">
        <f>((J49/E49)^(1/5)-1)*100</f>
        <v>-3.173902863120104</v>
      </c>
      <c r="L49" s="18">
        <v>350</v>
      </c>
      <c r="M49" s="21">
        <f t="shared" si="1"/>
        <v>-10.219223176287473</v>
      </c>
    </row>
    <row r="50" spans="1:13" s="2" customFormat="1" ht="16.5">
      <c r="A50" s="29">
        <v>2</v>
      </c>
      <c r="B50" s="38" t="s">
        <v>55</v>
      </c>
      <c r="C50" s="16"/>
      <c r="D50" s="35"/>
      <c r="E50" s="26"/>
      <c r="F50" s="35"/>
      <c r="G50" s="35"/>
      <c r="H50" s="26"/>
      <c r="I50" s="35"/>
      <c r="J50" s="35"/>
      <c r="K50" s="27"/>
      <c r="L50" s="26"/>
      <c r="M50" s="21"/>
    </row>
    <row r="51" spans="1:13" s="2" customFormat="1" ht="16.5">
      <c r="A51" s="23"/>
      <c r="B51" s="24" t="s">
        <v>56</v>
      </c>
      <c r="C51" s="25" t="s">
        <v>57</v>
      </c>
      <c r="D51" s="42">
        <v>2000</v>
      </c>
      <c r="E51" s="36">
        <v>1530</v>
      </c>
      <c r="F51" s="26">
        <v>1613</v>
      </c>
      <c r="G51" s="42">
        <v>1450</v>
      </c>
      <c r="H51" s="42">
        <v>1343</v>
      </c>
      <c r="I51" s="40">
        <v>1559</v>
      </c>
      <c r="J51" s="40">
        <v>1300</v>
      </c>
      <c r="K51" s="32">
        <f>((J51/E51)^(1/5)-1)*100</f>
        <v>-3.2055660802060126</v>
      </c>
      <c r="L51" s="26">
        <v>1500</v>
      </c>
      <c r="M51" s="21">
        <f t="shared" si="1"/>
        <v>2.9033661071187877</v>
      </c>
    </row>
    <row r="52" spans="1:13" s="2" customFormat="1" ht="16.5">
      <c r="A52" s="23"/>
      <c r="B52" s="24" t="s">
        <v>58</v>
      </c>
      <c r="C52" s="25" t="s">
        <v>57</v>
      </c>
      <c r="D52" s="42">
        <v>33000</v>
      </c>
      <c r="E52" s="36">
        <v>31800</v>
      </c>
      <c r="F52" s="40">
        <v>31878</v>
      </c>
      <c r="G52" s="42">
        <v>27313</v>
      </c>
      <c r="H52" s="42">
        <v>22000</v>
      </c>
      <c r="I52" s="40">
        <v>20489</v>
      </c>
      <c r="J52" s="40">
        <v>25000</v>
      </c>
      <c r="K52" s="32">
        <f>((J52/E52)^(1/5)-1)*100</f>
        <v>-4.697876468925011</v>
      </c>
      <c r="L52" s="26">
        <v>25000</v>
      </c>
      <c r="M52" s="21">
        <f t="shared" si="1"/>
        <v>0</v>
      </c>
    </row>
    <row r="53" spans="1:13" s="2" customFormat="1" ht="16.5">
      <c r="A53" s="23"/>
      <c r="B53" s="24" t="s">
        <v>59</v>
      </c>
      <c r="C53" s="25" t="s">
        <v>57</v>
      </c>
      <c r="D53" s="42">
        <v>50000</v>
      </c>
      <c r="E53" s="36">
        <v>15000</v>
      </c>
      <c r="F53" s="36">
        <v>10000</v>
      </c>
      <c r="G53" s="36">
        <v>13253</v>
      </c>
      <c r="H53" s="36">
        <v>12030</v>
      </c>
      <c r="I53" s="40">
        <v>10023</v>
      </c>
      <c r="J53" s="40">
        <v>10000</v>
      </c>
      <c r="K53" s="32">
        <f>((J53/E53)^(1/5)-1)*100</f>
        <v>-7.7892088518272224</v>
      </c>
      <c r="L53" s="26">
        <v>15000</v>
      </c>
      <c r="M53" s="21">
        <f t="shared" si="1"/>
        <v>8.447177119769854</v>
      </c>
    </row>
    <row r="54" spans="1:13" s="2" customFormat="1" ht="16.5">
      <c r="A54" s="23"/>
      <c r="B54" s="24" t="s">
        <v>60</v>
      </c>
      <c r="C54" s="25" t="s">
        <v>57</v>
      </c>
      <c r="D54" s="42">
        <v>400000</v>
      </c>
      <c r="E54" s="36">
        <v>195838</v>
      </c>
      <c r="F54" s="36">
        <v>182478</v>
      </c>
      <c r="G54" s="42">
        <v>135933</v>
      </c>
      <c r="H54" s="36">
        <v>253000</v>
      </c>
      <c r="I54" s="40">
        <v>207000</v>
      </c>
      <c r="J54" s="40">
        <v>200000</v>
      </c>
      <c r="K54" s="32">
        <f>((J54/E54)^(1/5)-1)*100</f>
        <v>0.42147732166488705</v>
      </c>
      <c r="L54" s="26">
        <v>250000</v>
      </c>
      <c r="M54" s="21">
        <f t="shared" si="1"/>
        <v>4.563955259127317</v>
      </c>
    </row>
    <row r="55" spans="1:13" s="2" customFormat="1" ht="16.5">
      <c r="A55" s="29">
        <v>3</v>
      </c>
      <c r="B55" s="38" t="s">
        <v>61</v>
      </c>
      <c r="C55" s="16"/>
      <c r="D55" s="35"/>
      <c r="E55" s="35"/>
      <c r="F55" s="35"/>
      <c r="G55" s="35"/>
      <c r="H55" s="18"/>
      <c r="I55" s="35"/>
      <c r="J55" s="35"/>
      <c r="K55" s="27"/>
      <c r="L55" s="26"/>
      <c r="M55" s="21"/>
    </row>
    <row r="56" spans="1:13" s="22" customFormat="1" ht="16.5">
      <c r="A56" s="29"/>
      <c r="B56" s="43" t="s">
        <v>62</v>
      </c>
      <c r="C56" s="16" t="s">
        <v>63</v>
      </c>
      <c r="D56" s="18">
        <v>50464</v>
      </c>
      <c r="E56" s="18">
        <v>53638</v>
      </c>
      <c r="F56" s="18">
        <v>51509</v>
      </c>
      <c r="G56" s="18">
        <v>51509</v>
      </c>
      <c r="H56" s="18">
        <v>51509</v>
      </c>
      <c r="I56" s="18">
        <v>51509</v>
      </c>
      <c r="J56" s="18">
        <v>51509</v>
      </c>
      <c r="K56" s="21">
        <f>((J56/E56)^(1/5)-1)*100</f>
        <v>-0.8067525907590745</v>
      </c>
      <c r="L56" s="18">
        <v>51509</v>
      </c>
      <c r="M56" s="21">
        <f t="shared" si="1"/>
        <v>0</v>
      </c>
    </row>
    <row r="57" spans="1:13" s="2" customFormat="1" ht="16.5">
      <c r="A57" s="29"/>
      <c r="B57" s="44" t="s">
        <v>64</v>
      </c>
      <c r="C57" s="25" t="s">
        <v>63</v>
      </c>
      <c r="D57" s="36"/>
      <c r="E57" s="36">
        <f aca="true" t="shared" si="6" ref="E57:J57">E56-E58</f>
        <v>50768</v>
      </c>
      <c r="F57" s="36">
        <f t="shared" si="6"/>
        <v>48036</v>
      </c>
      <c r="G57" s="36">
        <f t="shared" si="6"/>
        <v>48009</v>
      </c>
      <c r="H57" s="36">
        <f t="shared" si="6"/>
        <v>47609</v>
      </c>
      <c r="I57" s="36">
        <f t="shared" si="6"/>
        <v>47009</v>
      </c>
      <c r="J57" s="36">
        <f t="shared" si="6"/>
        <v>46509</v>
      </c>
      <c r="K57" s="32">
        <f>((J57/E57)^(1/5)-1)*100</f>
        <v>-1.737142485932086</v>
      </c>
      <c r="L57" s="36">
        <f>L56-L58</f>
        <v>44509</v>
      </c>
      <c r="M57" s="21">
        <f t="shared" si="1"/>
        <v>-0.8752358413479433</v>
      </c>
    </row>
    <row r="58" spans="1:13" s="2" customFormat="1" ht="16.5">
      <c r="A58" s="29"/>
      <c r="B58" s="24" t="s">
        <v>65</v>
      </c>
      <c r="C58" s="25" t="s">
        <v>63</v>
      </c>
      <c r="D58" s="36">
        <v>7500</v>
      </c>
      <c r="E58" s="36">
        <v>2870</v>
      </c>
      <c r="F58" s="36">
        <v>3473</v>
      </c>
      <c r="G58" s="36">
        <v>3500</v>
      </c>
      <c r="H58" s="26">
        <v>3900</v>
      </c>
      <c r="I58" s="40">
        <v>4500</v>
      </c>
      <c r="J58" s="40">
        <v>5000</v>
      </c>
      <c r="K58" s="32">
        <f>((J58/E58)^(1/5)-1)*100</f>
        <v>11.74230393377995</v>
      </c>
      <c r="L58" s="40">
        <v>7000</v>
      </c>
      <c r="M58" s="21">
        <f t="shared" si="1"/>
        <v>6.9610375725068785</v>
      </c>
    </row>
    <row r="59" spans="1:13" s="2" customFormat="1" ht="16.5">
      <c r="A59" s="29"/>
      <c r="B59" s="24" t="s">
        <v>66</v>
      </c>
      <c r="C59" s="25" t="s">
        <v>63</v>
      </c>
      <c r="D59" s="36"/>
      <c r="E59" s="36">
        <v>8524</v>
      </c>
      <c r="F59" s="36">
        <v>9100</v>
      </c>
      <c r="G59" s="36">
        <v>9100</v>
      </c>
      <c r="H59" s="36">
        <v>9100</v>
      </c>
      <c r="I59" s="40">
        <v>8168</v>
      </c>
      <c r="J59" s="40">
        <v>8168</v>
      </c>
      <c r="K59" s="32">
        <f>((J59/E59)^(1/5)-1)*100</f>
        <v>-0.849602968151919</v>
      </c>
      <c r="L59" s="40">
        <v>10000</v>
      </c>
      <c r="M59" s="21">
        <f t="shared" si="1"/>
        <v>4.1302363621045</v>
      </c>
    </row>
    <row r="60" spans="1:13" s="2" customFormat="1" ht="16.5">
      <c r="A60" s="29"/>
      <c r="B60" s="24" t="s">
        <v>67</v>
      </c>
      <c r="C60" s="25" t="s">
        <v>63</v>
      </c>
      <c r="D60" s="36"/>
      <c r="E60" s="36">
        <v>790</v>
      </c>
      <c r="F60" s="36">
        <v>603</v>
      </c>
      <c r="G60" s="36">
        <v>237</v>
      </c>
      <c r="H60" s="36">
        <v>400</v>
      </c>
      <c r="I60" s="40">
        <v>527</v>
      </c>
      <c r="J60" s="40">
        <v>600</v>
      </c>
      <c r="K60" s="32">
        <f>((J60/E60)^(1/5)-1)*100</f>
        <v>-5.3534404381108125</v>
      </c>
      <c r="L60" s="40">
        <v>1000</v>
      </c>
      <c r="M60" s="21">
        <f t="shared" si="1"/>
        <v>10.756634324829006</v>
      </c>
    </row>
    <row r="61" spans="1:13" s="2" customFormat="1" ht="16.5">
      <c r="A61" s="29">
        <v>4</v>
      </c>
      <c r="B61" s="38" t="s">
        <v>68</v>
      </c>
      <c r="C61" s="25"/>
      <c r="D61" s="108"/>
      <c r="E61" s="26"/>
      <c r="F61" s="26"/>
      <c r="G61" s="26"/>
      <c r="H61" s="35"/>
      <c r="I61" s="20"/>
      <c r="J61" s="20"/>
      <c r="K61" s="32"/>
      <c r="L61" s="26"/>
      <c r="M61" s="21"/>
    </row>
    <row r="62" spans="1:13" s="2" customFormat="1" ht="16.5">
      <c r="A62" s="23"/>
      <c r="B62" s="38" t="s">
        <v>69</v>
      </c>
      <c r="C62" s="25" t="s">
        <v>63</v>
      </c>
      <c r="D62" s="108"/>
      <c r="E62" s="26"/>
      <c r="F62" s="26"/>
      <c r="G62" s="26"/>
      <c r="H62" s="35"/>
      <c r="I62" s="20"/>
      <c r="J62" s="20"/>
      <c r="K62" s="32"/>
      <c r="L62" s="26"/>
      <c r="M62" s="21"/>
    </row>
    <row r="63" spans="1:13" s="2" customFormat="1" ht="16.5">
      <c r="A63" s="23"/>
      <c r="B63" s="24" t="s">
        <v>70</v>
      </c>
      <c r="C63" s="25" t="s">
        <v>63</v>
      </c>
      <c r="D63" s="108">
        <v>100</v>
      </c>
      <c r="E63" s="26">
        <v>90</v>
      </c>
      <c r="F63" s="26">
        <v>97</v>
      </c>
      <c r="G63" s="26">
        <v>115</v>
      </c>
      <c r="H63" s="26">
        <v>80</v>
      </c>
      <c r="I63" s="45">
        <v>129.7</v>
      </c>
      <c r="J63" s="40">
        <v>105</v>
      </c>
      <c r="K63" s="32">
        <f>((J63/E63)^(1/5)-1)*100</f>
        <v>3.131030647754507</v>
      </c>
      <c r="L63" s="26">
        <v>110</v>
      </c>
      <c r="M63" s="21">
        <f t="shared" si="1"/>
        <v>0.9347419909568888</v>
      </c>
    </row>
    <row r="64" spans="1:13" s="2" customFormat="1" ht="16.5">
      <c r="A64" s="29"/>
      <c r="B64" s="15" t="s">
        <v>71</v>
      </c>
      <c r="C64" s="16" t="s">
        <v>50</v>
      </c>
      <c r="D64" s="102">
        <v>1600</v>
      </c>
      <c r="E64" s="35">
        <v>1600</v>
      </c>
      <c r="F64" s="35">
        <v>1620</v>
      </c>
      <c r="G64" s="35">
        <v>1958</v>
      </c>
      <c r="H64" s="46">
        <v>2035</v>
      </c>
      <c r="I64" s="20">
        <v>2038</v>
      </c>
      <c r="J64" s="20">
        <v>2100</v>
      </c>
      <c r="K64" s="21">
        <f>((J64/E64)^(1/5)-1)*100</f>
        <v>5.589288248337687</v>
      </c>
      <c r="L64" s="35">
        <v>2756</v>
      </c>
      <c r="M64" s="21">
        <f t="shared" si="1"/>
        <v>5.587372726898043</v>
      </c>
    </row>
    <row r="65" spans="1:13" s="2" customFormat="1" ht="16.5">
      <c r="A65" s="29"/>
      <c r="B65" s="15" t="s">
        <v>72</v>
      </c>
      <c r="C65" s="16" t="s">
        <v>50</v>
      </c>
      <c r="D65" s="46">
        <v>850</v>
      </c>
      <c r="E65" s="18">
        <v>787</v>
      </c>
      <c r="F65" s="18">
        <v>870</v>
      </c>
      <c r="G65" s="18">
        <v>648</v>
      </c>
      <c r="H65" s="46">
        <v>572</v>
      </c>
      <c r="I65" s="20">
        <v>805</v>
      </c>
      <c r="J65" s="20">
        <v>750</v>
      </c>
      <c r="K65" s="21">
        <f>((J65/E65)^(1/5)-1)*100</f>
        <v>-0.9584778747913303</v>
      </c>
      <c r="L65" s="35">
        <v>1500</v>
      </c>
      <c r="M65" s="21">
        <f t="shared" si="1"/>
        <v>14.869835499703509</v>
      </c>
    </row>
    <row r="66" spans="1:13" s="2" customFormat="1" ht="12.75">
      <c r="A66" s="16" t="s">
        <v>73</v>
      </c>
      <c r="B66" s="30" t="s">
        <v>74</v>
      </c>
      <c r="C66" s="16"/>
      <c r="D66" s="35"/>
      <c r="E66" s="35"/>
      <c r="F66" s="35"/>
      <c r="G66" s="35"/>
      <c r="H66" s="18"/>
      <c r="I66" s="18"/>
      <c r="J66" s="18"/>
      <c r="K66" s="27"/>
      <c r="L66" s="26"/>
      <c r="M66" s="21"/>
    </row>
    <row r="67" spans="1:13" s="2" customFormat="1" ht="16.5">
      <c r="A67" s="29">
        <v>1</v>
      </c>
      <c r="B67" s="30" t="s">
        <v>75</v>
      </c>
      <c r="C67" s="25" t="s">
        <v>76</v>
      </c>
      <c r="D67" s="26">
        <v>550</v>
      </c>
      <c r="E67" s="26">
        <v>400</v>
      </c>
      <c r="F67" s="26">
        <v>267</v>
      </c>
      <c r="G67" s="26">
        <v>257</v>
      </c>
      <c r="H67" s="26">
        <v>224</v>
      </c>
      <c r="I67" s="26">
        <v>230</v>
      </c>
      <c r="J67" s="26">
        <v>250</v>
      </c>
      <c r="K67" s="32">
        <f>((J67/E67)^(1/5)-1)*100</f>
        <v>-8.971789848695988</v>
      </c>
      <c r="L67" s="36">
        <v>290</v>
      </c>
      <c r="M67" s="21">
        <f t="shared" si="1"/>
        <v>3.012896281839894</v>
      </c>
    </row>
    <row r="68" spans="1:13" s="2" customFormat="1" ht="16.5">
      <c r="A68" s="23"/>
      <c r="B68" s="31" t="s">
        <v>77</v>
      </c>
      <c r="C68" s="25" t="s">
        <v>76</v>
      </c>
      <c r="D68" s="26">
        <v>39</v>
      </c>
      <c r="E68" s="26">
        <v>7</v>
      </c>
      <c r="F68" s="26">
        <v>6</v>
      </c>
      <c r="G68" s="26">
        <v>7</v>
      </c>
      <c r="H68" s="26">
        <v>7</v>
      </c>
      <c r="I68" s="26">
        <v>7</v>
      </c>
      <c r="J68" s="26">
        <v>35</v>
      </c>
      <c r="K68" s="32">
        <f>((J68/E68)^(1/5)-1)*100</f>
        <v>37.97296614612149</v>
      </c>
      <c r="L68" s="36">
        <v>40</v>
      </c>
      <c r="M68" s="21">
        <f t="shared" si="1"/>
        <v>2.7066087089351765</v>
      </c>
    </row>
    <row r="69" spans="1:13" s="2" customFormat="1" ht="16.5">
      <c r="A69" s="23"/>
      <c r="B69" s="31" t="s">
        <v>78</v>
      </c>
      <c r="C69" s="25"/>
      <c r="D69" s="26">
        <v>511</v>
      </c>
      <c r="E69" s="26">
        <v>393</v>
      </c>
      <c r="F69" s="26">
        <v>261</v>
      </c>
      <c r="G69" s="26">
        <v>250</v>
      </c>
      <c r="H69" s="26">
        <v>217</v>
      </c>
      <c r="I69" s="26">
        <v>223</v>
      </c>
      <c r="J69" s="26">
        <v>215</v>
      </c>
      <c r="K69" s="32">
        <f>((J69/E69)^(1/5)-1)*100</f>
        <v>-11.364197337835025</v>
      </c>
      <c r="L69" s="36">
        <v>250</v>
      </c>
      <c r="M69" s="21">
        <f t="shared" si="1"/>
        <v>3.0624138001266177</v>
      </c>
    </row>
    <row r="70" spans="1:13" s="2" customFormat="1" ht="16.5">
      <c r="A70" s="29">
        <v>2</v>
      </c>
      <c r="B70" s="30" t="s">
        <v>79</v>
      </c>
      <c r="C70" s="23"/>
      <c r="D70" s="47"/>
      <c r="E70" s="47"/>
      <c r="F70" s="47"/>
      <c r="G70" s="47"/>
      <c r="H70" s="47"/>
      <c r="I70" s="47"/>
      <c r="J70" s="47"/>
      <c r="K70" s="32"/>
      <c r="L70" s="36"/>
      <c r="M70" s="21"/>
    </row>
    <row r="71" spans="1:13" s="2" customFormat="1" ht="16.5">
      <c r="A71" s="23"/>
      <c r="B71" s="31" t="s">
        <v>80</v>
      </c>
      <c r="C71" s="48" t="s">
        <v>81</v>
      </c>
      <c r="D71" s="26">
        <v>428000</v>
      </c>
      <c r="E71" s="26">
        <v>87389</v>
      </c>
      <c r="F71" s="26">
        <v>98797</v>
      </c>
      <c r="G71" s="26">
        <v>109203</v>
      </c>
      <c r="H71" s="26">
        <v>109203</v>
      </c>
      <c r="I71" s="40">
        <f>H71+(H71*10/100)</f>
        <v>120123.3</v>
      </c>
      <c r="J71" s="40">
        <v>132136</v>
      </c>
      <c r="K71" s="32">
        <f>((J71/E71)^(1/5)-1)*100</f>
        <v>8.620770020958822</v>
      </c>
      <c r="L71" s="36">
        <v>169134</v>
      </c>
      <c r="M71" s="21">
        <f t="shared" si="1"/>
        <v>5.061102237419757</v>
      </c>
    </row>
    <row r="72" spans="1:13" s="2" customFormat="1" ht="16.5">
      <c r="A72" s="23"/>
      <c r="B72" s="31" t="s">
        <v>82</v>
      </c>
      <c r="C72" s="48" t="s">
        <v>81</v>
      </c>
      <c r="D72" s="26">
        <v>738020</v>
      </c>
      <c r="E72" s="26">
        <v>221261</v>
      </c>
      <c r="F72" s="26">
        <v>290167</v>
      </c>
      <c r="G72" s="26">
        <v>351685</v>
      </c>
      <c r="H72" s="26">
        <v>511245</v>
      </c>
      <c r="I72" s="40">
        <v>536807</v>
      </c>
      <c r="J72" s="40">
        <v>563648</v>
      </c>
      <c r="K72" s="32">
        <f>((J72/E72)^(1/5)-1)*100</f>
        <v>20.564824940683167</v>
      </c>
      <c r="L72" s="36">
        <v>721469</v>
      </c>
      <c r="M72" s="21">
        <f t="shared" si="1"/>
        <v>5.061099361498234</v>
      </c>
    </row>
    <row r="73" spans="1:13" s="2" customFormat="1" ht="16.5">
      <c r="A73" s="29">
        <v>3</v>
      </c>
      <c r="B73" s="30" t="s">
        <v>83</v>
      </c>
      <c r="C73" s="48"/>
      <c r="D73" s="26"/>
      <c r="E73" s="26"/>
      <c r="F73" s="26"/>
      <c r="G73" s="26"/>
      <c r="H73" s="26"/>
      <c r="I73" s="40"/>
      <c r="J73" s="40"/>
      <c r="K73" s="32"/>
      <c r="L73" s="36"/>
      <c r="M73" s="21"/>
    </row>
    <row r="74" spans="1:13" s="2" customFormat="1" ht="16.5">
      <c r="A74" s="23"/>
      <c r="B74" s="24" t="s">
        <v>84</v>
      </c>
      <c r="C74" s="25" t="s">
        <v>85</v>
      </c>
      <c r="D74" s="42">
        <v>120</v>
      </c>
      <c r="E74" s="49">
        <v>49.2</v>
      </c>
      <c r="F74" s="49">
        <v>65</v>
      </c>
      <c r="G74" s="49">
        <v>94</v>
      </c>
      <c r="H74" s="49">
        <v>95</v>
      </c>
      <c r="I74" s="49">
        <v>112</v>
      </c>
      <c r="J74" s="49">
        <v>100</v>
      </c>
      <c r="K74" s="32">
        <f>((J74/E74)^(1/5)-1)*100</f>
        <v>15.24098971645358</v>
      </c>
      <c r="L74" s="26">
        <v>155</v>
      </c>
      <c r="M74" s="21">
        <f aca="true" t="shared" si="7" ref="M74:M121">((L74/J74)^(1/5)-1)*100</f>
        <v>9.160706958928856</v>
      </c>
    </row>
    <row r="75" spans="1:13" s="2" customFormat="1" ht="16.5">
      <c r="A75" s="23"/>
      <c r="B75" s="24" t="s">
        <v>86</v>
      </c>
      <c r="C75" s="25" t="s">
        <v>85</v>
      </c>
      <c r="D75" s="42">
        <v>240</v>
      </c>
      <c r="E75" s="49">
        <v>57</v>
      </c>
      <c r="F75" s="49">
        <v>63</v>
      </c>
      <c r="G75" s="49">
        <v>90</v>
      </c>
      <c r="H75" s="49">
        <v>92</v>
      </c>
      <c r="I75" s="49">
        <v>105</v>
      </c>
      <c r="J75" s="49">
        <v>100</v>
      </c>
      <c r="K75" s="32">
        <f>((J75/E75)^(1/5)-1)*100</f>
        <v>11.898696853861</v>
      </c>
      <c r="L75" s="26">
        <v>145</v>
      </c>
      <c r="M75" s="21">
        <f t="shared" si="7"/>
        <v>7.714358779274311</v>
      </c>
    </row>
    <row r="76" spans="1:13" s="2" customFormat="1" ht="17.25" customHeight="1">
      <c r="A76" s="23"/>
      <c r="B76" s="24" t="s">
        <v>87</v>
      </c>
      <c r="C76" s="25" t="s">
        <v>50</v>
      </c>
      <c r="D76" s="42">
        <v>10000</v>
      </c>
      <c r="E76" s="36">
        <v>10500</v>
      </c>
      <c r="F76" s="36">
        <v>12000</v>
      </c>
      <c r="G76" s="36">
        <v>10000</v>
      </c>
      <c r="H76" s="36">
        <v>10000</v>
      </c>
      <c r="I76" s="36">
        <v>12761</v>
      </c>
      <c r="J76" s="36">
        <v>12500</v>
      </c>
      <c r="K76" s="32">
        <f>((J76/E76)^(1/5)-1)*100</f>
        <v>3.548578845590522</v>
      </c>
      <c r="L76" s="26">
        <v>15000</v>
      </c>
      <c r="M76" s="21">
        <f t="shared" si="7"/>
        <v>3.713728933664817</v>
      </c>
    </row>
    <row r="77" spans="1:13" s="2" customFormat="1" ht="16.5">
      <c r="A77" s="23"/>
      <c r="B77" s="24" t="s">
        <v>88</v>
      </c>
      <c r="C77" s="25" t="s">
        <v>50</v>
      </c>
      <c r="D77" s="42">
        <v>5000</v>
      </c>
      <c r="E77" s="36">
        <v>2155</v>
      </c>
      <c r="F77" s="36">
        <v>3500</v>
      </c>
      <c r="G77" s="36">
        <v>5000</v>
      </c>
      <c r="H77" s="36">
        <v>5500</v>
      </c>
      <c r="I77" s="36">
        <v>10400</v>
      </c>
      <c r="J77" s="36">
        <v>10400</v>
      </c>
      <c r="K77" s="32">
        <f>((J77/E77)^(1/5)-1)*100</f>
        <v>36.99894190901168</v>
      </c>
      <c r="L77" s="26">
        <v>10000</v>
      </c>
      <c r="M77" s="21">
        <f t="shared" si="7"/>
        <v>-0.7813457628780496</v>
      </c>
    </row>
    <row r="78" spans="1:13" s="2" customFormat="1" ht="16.5" customHeight="1">
      <c r="A78" s="23"/>
      <c r="B78" s="24" t="s">
        <v>89</v>
      </c>
      <c r="C78" s="48" t="s">
        <v>90</v>
      </c>
      <c r="D78" s="42">
        <v>150000</v>
      </c>
      <c r="E78" s="36">
        <v>140000</v>
      </c>
      <c r="F78" s="36">
        <v>130000</v>
      </c>
      <c r="G78" s="36">
        <v>110000</v>
      </c>
      <c r="H78" s="36">
        <v>120000</v>
      </c>
      <c r="I78" s="36">
        <v>185400</v>
      </c>
      <c r="J78" s="36">
        <v>180000</v>
      </c>
      <c r="K78" s="32">
        <f>((J78/E78)^(1/5)-1)*100</f>
        <v>5.154749679728043</v>
      </c>
      <c r="L78" s="26">
        <v>160</v>
      </c>
      <c r="M78" s="21">
        <f t="shared" si="7"/>
        <v>-75.46593590607222</v>
      </c>
    </row>
    <row r="79" spans="1:13" s="2" customFormat="1" ht="12.75">
      <c r="A79" s="16" t="s">
        <v>91</v>
      </c>
      <c r="B79" s="30" t="s">
        <v>92</v>
      </c>
      <c r="C79" s="16"/>
      <c r="D79" s="35"/>
      <c r="E79" s="35"/>
      <c r="F79" s="35"/>
      <c r="G79" s="26"/>
      <c r="H79" s="26"/>
      <c r="I79" s="26"/>
      <c r="J79" s="26"/>
      <c r="K79" s="27"/>
      <c r="L79" s="26"/>
      <c r="M79" s="21"/>
    </row>
    <row r="80" spans="1:13" s="2" customFormat="1" ht="16.5">
      <c r="A80" s="23"/>
      <c r="B80" s="24" t="s">
        <v>93</v>
      </c>
      <c r="C80" s="25" t="s">
        <v>94</v>
      </c>
      <c r="D80" s="26">
        <v>90</v>
      </c>
      <c r="E80" s="26">
        <v>69</v>
      </c>
      <c r="F80" s="26">
        <v>79</v>
      </c>
      <c r="G80" s="26">
        <v>82</v>
      </c>
      <c r="H80" s="26">
        <v>104</v>
      </c>
      <c r="I80" s="26">
        <v>106</v>
      </c>
      <c r="J80" s="26">
        <v>110</v>
      </c>
      <c r="K80" s="32">
        <f>((J80/E80)^(1/5)-1)*100</f>
        <v>9.776332871918925</v>
      </c>
      <c r="L80" s="26">
        <v>120</v>
      </c>
      <c r="M80" s="21">
        <f t="shared" si="7"/>
        <v>1.7554577175587616</v>
      </c>
    </row>
    <row r="81" spans="1:13" s="50" customFormat="1" ht="16.5">
      <c r="A81" s="23"/>
      <c r="B81" s="24" t="s">
        <v>95</v>
      </c>
      <c r="C81" s="25" t="s">
        <v>96</v>
      </c>
      <c r="D81" s="39">
        <v>2900</v>
      </c>
      <c r="E81" s="39">
        <f>1485+127+459+238</f>
        <v>2309</v>
      </c>
      <c r="F81" s="39">
        <v>2452</v>
      </c>
      <c r="G81" s="39">
        <v>2981</v>
      </c>
      <c r="H81" s="39">
        <v>3000</v>
      </c>
      <c r="I81" s="39">
        <v>3100</v>
      </c>
      <c r="J81" s="39">
        <v>3300</v>
      </c>
      <c r="K81" s="32">
        <f>((J81/E81)^(1/5)-1)*100</f>
        <v>7.403392984275481</v>
      </c>
      <c r="L81" s="26">
        <v>4000</v>
      </c>
      <c r="M81" s="21">
        <f t="shared" si="7"/>
        <v>3.922410156720635</v>
      </c>
    </row>
    <row r="82" spans="1:13" s="22" customFormat="1" ht="16.5">
      <c r="A82" s="29"/>
      <c r="B82" s="15" t="s">
        <v>97</v>
      </c>
      <c r="C82" s="16" t="s">
        <v>98</v>
      </c>
      <c r="D82" s="46"/>
      <c r="E82" s="18">
        <v>70000</v>
      </c>
      <c r="F82" s="18">
        <v>90000</v>
      </c>
      <c r="G82" s="18">
        <v>95000</v>
      </c>
      <c r="H82" s="46">
        <v>143000</v>
      </c>
      <c r="I82" s="20">
        <v>157000</v>
      </c>
      <c r="J82" s="20">
        <v>170000</v>
      </c>
      <c r="K82" s="21">
        <f>((J82/E82)^(1/5)-1)*100</f>
        <v>19.418105281717768</v>
      </c>
      <c r="L82" s="18">
        <v>300000</v>
      </c>
      <c r="M82" s="21">
        <f t="shared" si="7"/>
        <v>12.030033714161736</v>
      </c>
    </row>
    <row r="83" spans="1:13" s="2" customFormat="1" ht="16.5">
      <c r="A83" s="23"/>
      <c r="B83" s="30" t="s">
        <v>99</v>
      </c>
      <c r="C83" s="25"/>
      <c r="D83" s="42"/>
      <c r="E83" s="26"/>
      <c r="F83" s="26"/>
      <c r="G83" s="26"/>
      <c r="H83" s="42"/>
      <c r="I83" s="27"/>
      <c r="J83" s="27"/>
      <c r="K83" s="27"/>
      <c r="L83" s="26"/>
      <c r="M83" s="21"/>
    </row>
    <row r="84" spans="1:13" s="2" customFormat="1" ht="16.5">
      <c r="A84" s="23"/>
      <c r="B84" s="31" t="s">
        <v>100</v>
      </c>
      <c r="C84" s="48" t="s">
        <v>101</v>
      </c>
      <c r="D84" s="108">
        <v>100000</v>
      </c>
      <c r="E84" s="42">
        <f>'[1]TR72GT XK. chia LT'!$C$5</f>
        <v>11483.9</v>
      </c>
      <c r="F84" s="42">
        <f>'[1]TR72GT XK. chia LT'!$D$5</f>
        <v>11473.5</v>
      </c>
      <c r="G84" s="42">
        <f>'[1]TR72GT XK. chia LT'!$E$5</f>
        <v>8636.3</v>
      </c>
      <c r="H84" s="110">
        <v>12012</v>
      </c>
      <c r="I84" s="109">
        <v>10268</v>
      </c>
      <c r="J84" s="40">
        <v>15000</v>
      </c>
      <c r="K84" s="32">
        <f>((J84/E84)^(1/5)-1)*100</f>
        <v>5.487347342158899</v>
      </c>
      <c r="L84" s="26">
        <v>25000</v>
      </c>
      <c r="M84" s="21">
        <f t="shared" si="7"/>
        <v>10.756634324829006</v>
      </c>
    </row>
    <row r="85" spans="1:13" s="2" customFormat="1" ht="16.5">
      <c r="A85" s="23"/>
      <c r="B85" s="24" t="s">
        <v>102</v>
      </c>
      <c r="C85" s="25" t="s">
        <v>103</v>
      </c>
      <c r="D85" s="42">
        <v>30000</v>
      </c>
      <c r="E85" s="42">
        <f>'[1]TR71 SL.Gtr XK'!$C$5</f>
        <v>8267</v>
      </c>
      <c r="F85" s="51">
        <v>13756</v>
      </c>
      <c r="G85" s="51">
        <v>13392</v>
      </c>
      <c r="H85" s="42">
        <v>9855</v>
      </c>
      <c r="I85" s="109">
        <v>4541</v>
      </c>
      <c r="J85" s="40">
        <v>10000</v>
      </c>
      <c r="K85" s="32">
        <f>((J85/E85)^(1/5)-1)*100</f>
        <v>3.8796343989562665</v>
      </c>
      <c r="L85" s="26">
        <v>30000</v>
      </c>
      <c r="M85" s="21">
        <f t="shared" si="7"/>
        <v>24.57309396155174</v>
      </c>
    </row>
    <row r="86" spans="1:13" s="2" customFormat="1" ht="12.75">
      <c r="A86" s="16" t="s">
        <v>24</v>
      </c>
      <c r="B86" s="30" t="s">
        <v>104</v>
      </c>
      <c r="C86" s="16"/>
      <c r="D86" s="35"/>
      <c r="E86" s="35"/>
      <c r="F86" s="35"/>
      <c r="G86" s="35"/>
      <c r="H86" s="26"/>
      <c r="I86" s="26"/>
      <c r="J86" s="26"/>
      <c r="K86" s="27"/>
      <c r="L86" s="26"/>
      <c r="M86" s="21"/>
    </row>
    <row r="87" spans="1:13" s="2" customFormat="1" ht="13.5">
      <c r="A87" s="16" t="s">
        <v>46</v>
      </c>
      <c r="B87" s="52" t="s">
        <v>105</v>
      </c>
      <c r="C87" s="16"/>
      <c r="D87" s="35"/>
      <c r="E87" s="35"/>
      <c r="F87" s="35"/>
      <c r="G87" s="35"/>
      <c r="H87" s="36"/>
      <c r="I87" s="36"/>
      <c r="J87" s="36"/>
      <c r="K87" s="27"/>
      <c r="L87" s="26"/>
      <c r="M87" s="21"/>
    </row>
    <row r="88" spans="1:13" s="2" customFormat="1" ht="16.5">
      <c r="A88" s="29">
        <v>1</v>
      </c>
      <c r="B88" s="15" t="s">
        <v>106</v>
      </c>
      <c r="C88" s="16"/>
      <c r="D88" s="35"/>
      <c r="E88" s="35"/>
      <c r="F88" s="35"/>
      <c r="G88" s="35"/>
      <c r="H88" s="35"/>
      <c r="I88" s="35"/>
      <c r="J88" s="35"/>
      <c r="K88" s="27"/>
      <c r="L88" s="26"/>
      <c r="M88" s="21"/>
    </row>
    <row r="89" spans="1:13" s="2" customFormat="1" ht="16.5">
      <c r="A89" s="23"/>
      <c r="B89" s="24" t="s">
        <v>107</v>
      </c>
      <c r="C89" s="25" t="s">
        <v>108</v>
      </c>
      <c r="D89" s="26">
        <v>3716</v>
      </c>
      <c r="E89" s="26">
        <v>3217</v>
      </c>
      <c r="F89" s="26">
        <v>3636</v>
      </c>
      <c r="G89" s="26">
        <v>3652</v>
      </c>
      <c r="H89" s="36">
        <v>4011</v>
      </c>
      <c r="I89" s="40">
        <v>3718</v>
      </c>
      <c r="J89" s="40">
        <v>4175</v>
      </c>
      <c r="K89" s="32">
        <f>((J89/E89)^(1/5)-1)*100</f>
        <v>5.351587399114033</v>
      </c>
      <c r="L89" s="26">
        <v>4500</v>
      </c>
      <c r="M89" s="21">
        <f t="shared" si="7"/>
        <v>1.510556061775814</v>
      </c>
    </row>
    <row r="90" spans="1:13" s="2" customFormat="1" ht="16.5">
      <c r="A90" s="23"/>
      <c r="B90" s="24" t="s">
        <v>109</v>
      </c>
      <c r="C90" s="25" t="s">
        <v>37</v>
      </c>
      <c r="D90" s="45">
        <v>80</v>
      </c>
      <c r="E90" s="45">
        <f aca="true" t="shared" si="8" ref="E90:J90">E89/(1724+1798+1698)%</f>
        <v>61.628352490421456</v>
      </c>
      <c r="F90" s="45">
        <f t="shared" si="8"/>
        <v>69.6551724137931</v>
      </c>
      <c r="G90" s="45">
        <f t="shared" si="8"/>
        <v>69.96168582375479</v>
      </c>
      <c r="H90" s="45">
        <f t="shared" si="8"/>
        <v>76.83908045977012</v>
      </c>
      <c r="I90" s="45">
        <f t="shared" si="8"/>
        <v>71.22605363984674</v>
      </c>
      <c r="J90" s="45">
        <f t="shared" si="8"/>
        <v>79.98084291187739</v>
      </c>
      <c r="K90" s="32">
        <v>5.35</v>
      </c>
      <c r="L90" s="45">
        <v>85</v>
      </c>
      <c r="M90" s="21">
        <f t="shared" si="7"/>
        <v>1.22472131668796</v>
      </c>
    </row>
    <row r="91" spans="1:13" s="2" customFormat="1" ht="16.5">
      <c r="A91" s="29">
        <v>2</v>
      </c>
      <c r="B91" s="15" t="s">
        <v>110</v>
      </c>
      <c r="C91" s="25"/>
      <c r="D91" s="26"/>
      <c r="E91" s="26"/>
      <c r="F91" s="26"/>
      <c r="G91" s="26"/>
      <c r="H91" s="26"/>
      <c r="I91" s="26"/>
      <c r="J91" s="26"/>
      <c r="K91" s="27"/>
      <c r="L91" s="26"/>
      <c r="M91" s="21"/>
    </row>
    <row r="92" spans="1:13" s="2" customFormat="1" ht="16.5">
      <c r="A92" s="23"/>
      <c r="B92" s="24" t="s">
        <v>111</v>
      </c>
      <c r="C92" s="25" t="s">
        <v>112</v>
      </c>
      <c r="D92" s="26">
        <v>9624</v>
      </c>
      <c r="E92" s="26">
        <v>9458</v>
      </c>
      <c r="F92" s="26">
        <v>9505</v>
      </c>
      <c r="G92" s="26">
        <v>9553</v>
      </c>
      <c r="H92" s="26">
        <v>9820</v>
      </c>
      <c r="I92" s="26">
        <v>10136</v>
      </c>
      <c r="J92" s="26">
        <v>9800</v>
      </c>
      <c r="K92" s="32">
        <f>((J92/E92)^(1/5)-1)*100</f>
        <v>0.7129583613302959</v>
      </c>
      <c r="L92" s="26">
        <v>10500</v>
      </c>
      <c r="M92" s="21">
        <f t="shared" si="7"/>
        <v>1.3894214014664508</v>
      </c>
    </row>
    <row r="93" spans="1:13" s="2" customFormat="1" ht="16.5">
      <c r="A93" s="23"/>
      <c r="B93" s="24" t="s">
        <v>113</v>
      </c>
      <c r="C93" s="25" t="s">
        <v>37</v>
      </c>
      <c r="D93" s="45">
        <v>100</v>
      </c>
      <c r="E93" s="26">
        <v>97.4</v>
      </c>
      <c r="F93" s="26">
        <v>97.8</v>
      </c>
      <c r="G93" s="45">
        <v>98</v>
      </c>
      <c r="H93" s="45">
        <v>98</v>
      </c>
      <c r="I93" s="26">
        <v>98.1</v>
      </c>
      <c r="J93" s="45">
        <v>99</v>
      </c>
      <c r="K93" s="32">
        <f>((J93/E93)^(1/5)-1)*100</f>
        <v>0.3264043323248256</v>
      </c>
      <c r="L93" s="45">
        <v>99.5</v>
      </c>
      <c r="M93" s="21">
        <f t="shared" si="7"/>
        <v>0.1008066563882748</v>
      </c>
    </row>
    <row r="94" spans="1:13" s="2" customFormat="1" ht="16.5">
      <c r="A94" s="29">
        <v>3</v>
      </c>
      <c r="B94" s="15" t="s">
        <v>114</v>
      </c>
      <c r="C94" s="53"/>
      <c r="D94" s="26"/>
      <c r="E94" s="26"/>
      <c r="F94" s="26"/>
      <c r="G94" s="26"/>
      <c r="H94" s="26"/>
      <c r="I94" s="26"/>
      <c r="J94" s="26"/>
      <c r="K94" s="27"/>
      <c r="L94" s="26"/>
      <c r="M94" s="21"/>
    </row>
    <row r="95" spans="1:13" s="2" customFormat="1" ht="16.5">
      <c r="A95" s="23"/>
      <c r="B95" s="24" t="s">
        <v>111</v>
      </c>
      <c r="C95" s="25" t="s">
        <v>112</v>
      </c>
      <c r="D95" s="26">
        <v>7980</v>
      </c>
      <c r="E95" s="36">
        <v>6982</v>
      </c>
      <c r="F95" s="36">
        <v>7159</v>
      </c>
      <c r="G95" s="36">
        <v>6895</v>
      </c>
      <c r="H95" s="26">
        <v>6688</v>
      </c>
      <c r="I95" s="40">
        <v>6718</v>
      </c>
      <c r="J95" s="40">
        <v>6900</v>
      </c>
      <c r="K95" s="32">
        <f>((J95/E95)^(1/5)-1)*100</f>
        <v>-0.23600102026025693</v>
      </c>
      <c r="L95" s="26">
        <v>7000</v>
      </c>
      <c r="M95" s="21">
        <f t="shared" si="7"/>
        <v>0.28818921805662256</v>
      </c>
    </row>
    <row r="96" spans="1:13" s="2" customFormat="1" ht="16.5">
      <c r="A96" s="29"/>
      <c r="B96" s="24" t="s">
        <v>113</v>
      </c>
      <c r="C96" s="25" t="s">
        <v>37</v>
      </c>
      <c r="D96" s="45">
        <v>98</v>
      </c>
      <c r="E96" s="45">
        <f>E95/(11187-2496)%</f>
        <v>80.3359797491658</v>
      </c>
      <c r="F96" s="45">
        <f>F95/(11187-2496-2543+1913)%</f>
        <v>88.81032130008684</v>
      </c>
      <c r="G96" s="45">
        <f>G95/(11187-2496-2543-2244+1913+1988)%</f>
        <v>88.3408071748879</v>
      </c>
      <c r="H96" s="45">
        <f>H95/(11187-2496-2543-2244+1913+1988)%</f>
        <v>85.68866111467008</v>
      </c>
      <c r="I96" s="45">
        <f>I95/(11187-2496-2543-2244+1913+1988)%</f>
        <v>86.07303010890455</v>
      </c>
      <c r="J96" s="45">
        <f>J95/(11187-2496-2543-2244+1913+1988)%</f>
        <v>88.40486867392697</v>
      </c>
      <c r="K96" s="32">
        <f>((J96/E96)^(1/5)-1)*100</f>
        <v>1.9326271867920575</v>
      </c>
      <c r="L96" s="45">
        <v>88.5</v>
      </c>
      <c r="M96" s="21">
        <f t="shared" si="7"/>
        <v>0.021512481401964045</v>
      </c>
    </row>
    <row r="97" spans="1:13" s="2" customFormat="1" ht="16.5">
      <c r="A97" s="29"/>
      <c r="B97" s="24" t="s">
        <v>115</v>
      </c>
      <c r="C97" s="25"/>
      <c r="D97" s="45"/>
      <c r="E97" s="26"/>
      <c r="F97" s="26"/>
      <c r="G97" s="26"/>
      <c r="H97" s="45"/>
      <c r="I97" s="45"/>
      <c r="J97" s="45"/>
      <c r="K97" s="27"/>
      <c r="L97" s="26"/>
      <c r="M97" s="21"/>
    </row>
    <row r="98" spans="1:13" s="2" customFormat="1" ht="16.5">
      <c r="A98" s="29">
        <v>4</v>
      </c>
      <c r="B98" s="15" t="s">
        <v>116</v>
      </c>
      <c r="C98" s="25"/>
      <c r="D98" s="26"/>
      <c r="E98" s="26"/>
      <c r="F98" s="26"/>
      <c r="G98" s="26"/>
      <c r="H98" s="26"/>
      <c r="I98" s="26"/>
      <c r="J98" s="26"/>
      <c r="K98" s="27"/>
      <c r="L98" s="26"/>
      <c r="M98" s="21"/>
    </row>
    <row r="99" spans="1:13" s="2" customFormat="1" ht="16.5">
      <c r="A99" s="23"/>
      <c r="B99" s="24" t="s">
        <v>111</v>
      </c>
      <c r="C99" s="25" t="s">
        <v>112</v>
      </c>
      <c r="D99" s="26">
        <v>4670</v>
      </c>
      <c r="E99" s="26">
        <v>2699</v>
      </c>
      <c r="F99" s="26">
        <v>2765</v>
      </c>
      <c r="G99" s="26">
        <v>2570</v>
      </c>
      <c r="H99" s="26">
        <v>2347</v>
      </c>
      <c r="I99" s="40">
        <v>2800</v>
      </c>
      <c r="J99" s="40">
        <v>2800</v>
      </c>
      <c r="K99" s="32">
        <f>((J99/E99)^(1/5)-1)*100</f>
        <v>0.7374676598949748</v>
      </c>
      <c r="L99" s="26">
        <v>3000</v>
      </c>
      <c r="M99" s="21">
        <f t="shared" si="7"/>
        <v>1.3894214014664508</v>
      </c>
    </row>
    <row r="100" spans="1:13" s="2" customFormat="1" ht="16.5">
      <c r="A100" s="29"/>
      <c r="B100" s="24" t="s">
        <v>113</v>
      </c>
      <c r="C100" s="25" t="s">
        <v>37</v>
      </c>
      <c r="D100" s="45">
        <v>80</v>
      </c>
      <c r="E100" s="27">
        <f>E99/(2495+2662+2603)%</f>
        <v>34.78092783505155</v>
      </c>
      <c r="F100" s="27">
        <f>F99/(2495+2662+2543)%</f>
        <v>35.90909090909091</v>
      </c>
      <c r="G100" s="27">
        <f>G99/(2495+2244+2543)%</f>
        <v>35.29250205987366</v>
      </c>
      <c r="H100" s="27">
        <f>H99/(2067+2244+2543)%</f>
        <v>34.242777939889116</v>
      </c>
      <c r="I100" s="27">
        <f>I99/(2067+2244+1838)%</f>
        <v>45.53585948934786</v>
      </c>
      <c r="J100" s="27">
        <f>J99/(2067+1913+1838)%</f>
        <v>48.12650395324854</v>
      </c>
      <c r="K100" s="32">
        <f>((J100/E100)^(1/5)-1)*100</f>
        <v>6.710862520471639</v>
      </c>
      <c r="L100" s="45">
        <v>80</v>
      </c>
      <c r="M100" s="21">
        <f t="shared" si="7"/>
        <v>10.698346662352144</v>
      </c>
    </row>
    <row r="101" spans="1:13" s="2" customFormat="1" ht="16.5">
      <c r="A101" s="29"/>
      <c r="B101" s="24" t="s">
        <v>115</v>
      </c>
      <c r="C101" s="25"/>
      <c r="D101" s="26"/>
      <c r="E101" s="26">
        <v>562</v>
      </c>
      <c r="F101" s="26">
        <v>625</v>
      </c>
      <c r="G101" s="26">
        <v>810</v>
      </c>
      <c r="H101" s="40">
        <v>1050</v>
      </c>
      <c r="I101" s="40">
        <v>1100</v>
      </c>
      <c r="J101" s="40">
        <v>1200</v>
      </c>
      <c r="K101" s="32">
        <f>((J101/E101)^(1/5)-1)*100</f>
        <v>16.38284947536026</v>
      </c>
      <c r="L101" s="26">
        <v>1500</v>
      </c>
      <c r="M101" s="21">
        <f t="shared" si="7"/>
        <v>4.563955259127317</v>
      </c>
    </row>
    <row r="102" spans="1:13" s="2" customFormat="1" ht="18.75" customHeight="1">
      <c r="A102" s="29" t="s">
        <v>73</v>
      </c>
      <c r="B102" s="15" t="s">
        <v>117</v>
      </c>
      <c r="C102" s="25"/>
      <c r="D102" s="26"/>
      <c r="E102" s="26"/>
      <c r="F102" s="26"/>
      <c r="G102" s="26"/>
      <c r="H102" s="26"/>
      <c r="I102" s="26"/>
      <c r="J102" s="26"/>
      <c r="K102" s="27"/>
      <c r="L102" s="26"/>
      <c r="M102" s="21"/>
    </row>
    <row r="103" spans="1:13" s="2" customFormat="1" ht="16.5">
      <c r="A103" s="29">
        <v>1</v>
      </c>
      <c r="B103" s="15" t="s">
        <v>118</v>
      </c>
      <c r="C103" s="25" t="s">
        <v>119</v>
      </c>
      <c r="D103" s="26">
        <v>205</v>
      </c>
      <c r="E103" s="54">
        <v>200</v>
      </c>
      <c r="F103" s="54">
        <v>205</v>
      </c>
      <c r="G103" s="54">
        <v>205</v>
      </c>
      <c r="H103" s="26">
        <f>'[2]2013'!$D$188</f>
        <v>205</v>
      </c>
      <c r="I103" s="40">
        <v>205</v>
      </c>
      <c r="J103" s="40">
        <v>220</v>
      </c>
      <c r="K103" s="32">
        <f>((J103/E103)^(1/5)-1)*100</f>
        <v>1.9244876491456564</v>
      </c>
      <c r="L103" s="26">
        <v>295</v>
      </c>
      <c r="M103" s="21">
        <f t="shared" si="7"/>
        <v>6.042477819475911</v>
      </c>
    </row>
    <row r="104" spans="1:13" s="2" customFormat="1" ht="16.5">
      <c r="A104" s="23"/>
      <c r="B104" s="24" t="s">
        <v>120</v>
      </c>
      <c r="C104" s="25" t="s">
        <v>119</v>
      </c>
      <c r="D104" s="26">
        <v>140</v>
      </c>
      <c r="E104" s="55">
        <v>100</v>
      </c>
      <c r="F104" s="56">
        <v>140</v>
      </c>
      <c r="G104" s="56">
        <v>140</v>
      </c>
      <c r="H104" s="26">
        <v>140</v>
      </c>
      <c r="I104" s="40">
        <v>140</v>
      </c>
      <c r="J104" s="40">
        <v>150</v>
      </c>
      <c r="K104" s="32">
        <f>((J104/E104)^(1/5)-1)*100</f>
        <v>8.447177119769854</v>
      </c>
      <c r="L104" s="26">
        <v>230</v>
      </c>
      <c r="M104" s="21">
        <f t="shared" si="7"/>
        <v>8.924936491294378</v>
      </c>
    </row>
    <row r="105" spans="1:13" s="2" customFormat="1" ht="16.5">
      <c r="A105" s="29">
        <v>2</v>
      </c>
      <c r="B105" s="15" t="s">
        <v>121</v>
      </c>
      <c r="C105" s="25" t="s">
        <v>28</v>
      </c>
      <c r="D105" s="26">
        <v>245</v>
      </c>
      <c r="E105" s="56">
        <v>168</v>
      </c>
      <c r="F105" s="56">
        <v>192</v>
      </c>
      <c r="G105" s="56">
        <v>206</v>
      </c>
      <c r="H105" s="26">
        <v>275</v>
      </c>
      <c r="I105" s="40">
        <v>275</v>
      </c>
      <c r="J105" s="40">
        <v>280</v>
      </c>
      <c r="K105" s="32">
        <f>((J105/E105)^(1/5)-1)*100</f>
        <v>10.756634324829006</v>
      </c>
      <c r="L105" s="26">
        <v>300</v>
      </c>
      <c r="M105" s="21">
        <f t="shared" si="7"/>
        <v>1.3894214014664508</v>
      </c>
    </row>
    <row r="106" spans="1:13" s="2" customFormat="1" ht="16.5">
      <c r="A106" s="23"/>
      <c r="B106" s="24" t="s">
        <v>122</v>
      </c>
      <c r="C106" s="25" t="s">
        <v>28</v>
      </c>
      <c r="D106" s="26">
        <v>70</v>
      </c>
      <c r="E106" s="26">
        <v>32</v>
      </c>
      <c r="F106" s="26">
        <v>38</v>
      </c>
      <c r="G106" s="26">
        <v>39</v>
      </c>
      <c r="H106" s="26">
        <v>40</v>
      </c>
      <c r="I106" s="40">
        <v>40</v>
      </c>
      <c r="J106" s="40">
        <v>45</v>
      </c>
      <c r="K106" s="32">
        <f>((J106/E106)^(1/5)-1)*100</f>
        <v>7.056368416916192</v>
      </c>
      <c r="L106" s="26">
        <v>70</v>
      </c>
      <c r="M106" s="21">
        <f t="shared" si="7"/>
        <v>9.238846414037294</v>
      </c>
    </row>
    <row r="107" spans="1:13" s="2" customFormat="1" ht="17.25" customHeight="1">
      <c r="A107" s="57" t="s">
        <v>91</v>
      </c>
      <c r="B107" s="15" t="s">
        <v>123</v>
      </c>
      <c r="C107" s="25" t="s">
        <v>28</v>
      </c>
      <c r="D107" s="35"/>
      <c r="E107" s="35"/>
      <c r="F107" s="26"/>
      <c r="G107" s="26"/>
      <c r="H107" s="26"/>
      <c r="I107" s="26"/>
      <c r="J107" s="26"/>
      <c r="K107" s="27"/>
      <c r="L107" s="26"/>
      <c r="M107" s="21"/>
    </row>
    <row r="108" spans="1:13" s="2" customFormat="1" ht="31.5">
      <c r="A108" s="58">
        <v>1</v>
      </c>
      <c r="B108" s="38" t="s">
        <v>124</v>
      </c>
      <c r="C108" s="16" t="s">
        <v>125</v>
      </c>
      <c r="D108" s="46">
        <v>23100</v>
      </c>
      <c r="E108" s="46">
        <v>20811</v>
      </c>
      <c r="F108" s="46">
        <v>22076</v>
      </c>
      <c r="G108" s="46">
        <v>22634</v>
      </c>
      <c r="H108" s="46">
        <v>23373</v>
      </c>
      <c r="I108" s="46">
        <v>24452</v>
      </c>
      <c r="J108" s="46">
        <v>24000</v>
      </c>
      <c r="K108" s="21">
        <f aca="true" t="shared" si="9" ref="K108:K113">((J108/E108)^(1/5)-1)*100</f>
        <v>2.892485549483337</v>
      </c>
      <c r="L108" s="46">
        <v>26000</v>
      </c>
      <c r="M108" s="21">
        <f t="shared" si="7"/>
        <v>1.6137364741595661</v>
      </c>
    </row>
    <row r="109" spans="1:13" s="2" customFormat="1" ht="16.5">
      <c r="A109" s="23"/>
      <c r="B109" s="24" t="s">
        <v>126</v>
      </c>
      <c r="C109" s="25" t="s">
        <v>125</v>
      </c>
      <c r="D109" s="36">
        <v>21800</v>
      </c>
      <c r="E109" s="36">
        <v>18342</v>
      </c>
      <c r="F109" s="36">
        <v>19988</v>
      </c>
      <c r="G109" s="36">
        <v>21187</v>
      </c>
      <c r="H109" s="42">
        <v>21676</v>
      </c>
      <c r="I109" s="36">
        <v>22230</v>
      </c>
      <c r="J109" s="36">
        <v>23500</v>
      </c>
      <c r="K109" s="32">
        <f t="shared" si="9"/>
        <v>5.081009085292543</v>
      </c>
      <c r="L109" s="36">
        <v>25600</v>
      </c>
      <c r="M109" s="21">
        <f t="shared" si="7"/>
        <v>1.7265745287660117</v>
      </c>
    </row>
    <row r="110" spans="1:13" s="2" customFormat="1" ht="16.5">
      <c r="A110" s="23"/>
      <c r="B110" s="24" t="s">
        <v>127</v>
      </c>
      <c r="C110" s="25" t="s">
        <v>37</v>
      </c>
      <c r="D110" s="27">
        <f aca="true" t="shared" si="10" ref="D110:J110">D109/D108*100</f>
        <v>94.37229437229438</v>
      </c>
      <c r="E110" s="27">
        <f t="shared" si="10"/>
        <v>88.13608187977512</v>
      </c>
      <c r="F110" s="27">
        <f t="shared" si="10"/>
        <v>90.54176481246603</v>
      </c>
      <c r="G110" s="27">
        <f t="shared" si="10"/>
        <v>93.60696297605372</v>
      </c>
      <c r="H110" s="27">
        <f t="shared" si="10"/>
        <v>92.73948573139947</v>
      </c>
      <c r="I110" s="27">
        <f t="shared" si="10"/>
        <v>90.91280876819891</v>
      </c>
      <c r="J110" s="27">
        <f t="shared" si="10"/>
        <v>97.91666666666666</v>
      </c>
      <c r="K110" s="32">
        <f t="shared" si="9"/>
        <v>2.12700035782174</v>
      </c>
      <c r="L110" s="27">
        <f>L109/L108%</f>
        <v>98.46153846153847</v>
      </c>
      <c r="M110" s="21">
        <f t="shared" si="7"/>
        <v>0.11104606377223547</v>
      </c>
    </row>
    <row r="111" spans="1:13" s="2" customFormat="1" ht="17.25">
      <c r="A111" s="58">
        <v>2</v>
      </c>
      <c r="B111" s="38" t="s">
        <v>128</v>
      </c>
      <c r="C111" s="59" t="s">
        <v>129</v>
      </c>
      <c r="D111" s="35">
        <v>131</v>
      </c>
      <c r="E111" s="35">
        <v>141</v>
      </c>
      <c r="F111" s="35">
        <v>141</v>
      </c>
      <c r="G111" s="35">
        <v>141</v>
      </c>
      <c r="H111" s="35">
        <v>147</v>
      </c>
      <c r="I111" s="20">
        <v>147</v>
      </c>
      <c r="J111" s="20">
        <v>147</v>
      </c>
      <c r="K111" s="21">
        <f t="shared" si="9"/>
        <v>0.8369368246506692</v>
      </c>
      <c r="L111" s="26">
        <v>147</v>
      </c>
      <c r="M111" s="21">
        <f t="shared" si="7"/>
        <v>0</v>
      </c>
    </row>
    <row r="112" spans="1:13" s="2" customFormat="1" ht="16.5">
      <c r="A112" s="23"/>
      <c r="B112" s="24" t="s">
        <v>130</v>
      </c>
      <c r="C112" s="25" t="s">
        <v>131</v>
      </c>
      <c r="D112" s="26">
        <v>131</v>
      </c>
      <c r="E112" s="26">
        <v>119</v>
      </c>
      <c r="F112" s="26">
        <v>128</v>
      </c>
      <c r="G112" s="26">
        <v>135</v>
      </c>
      <c r="H112" s="26">
        <v>138</v>
      </c>
      <c r="I112" s="40">
        <v>147</v>
      </c>
      <c r="J112" s="40">
        <v>147</v>
      </c>
      <c r="K112" s="32">
        <f t="shared" si="9"/>
        <v>4.316756381013498</v>
      </c>
      <c r="L112" s="26">
        <v>147</v>
      </c>
      <c r="M112" s="21">
        <f t="shared" si="7"/>
        <v>0</v>
      </c>
    </row>
    <row r="113" spans="1:13" s="2" customFormat="1" ht="16.5">
      <c r="A113" s="23"/>
      <c r="B113" s="24" t="s">
        <v>132</v>
      </c>
      <c r="C113" s="25" t="s">
        <v>37</v>
      </c>
      <c r="D113" s="26">
        <v>100</v>
      </c>
      <c r="E113" s="27">
        <f aca="true" t="shared" si="11" ref="E113:J113">E112/E111*100</f>
        <v>84.39716312056737</v>
      </c>
      <c r="F113" s="27">
        <f t="shared" si="11"/>
        <v>90.78014184397163</v>
      </c>
      <c r="G113" s="27">
        <f t="shared" si="11"/>
        <v>95.74468085106383</v>
      </c>
      <c r="H113" s="27">
        <f t="shared" si="11"/>
        <v>93.87755102040816</v>
      </c>
      <c r="I113" s="27">
        <f t="shared" si="11"/>
        <v>100</v>
      </c>
      <c r="J113" s="27">
        <f t="shared" si="11"/>
        <v>100</v>
      </c>
      <c r="K113" s="32">
        <f t="shared" si="9"/>
        <v>3.4509373905457164</v>
      </c>
      <c r="L113" s="26">
        <v>100</v>
      </c>
      <c r="M113" s="21">
        <f t="shared" si="7"/>
        <v>0</v>
      </c>
    </row>
    <row r="114" spans="1:13" s="2" customFormat="1" ht="16.5">
      <c r="A114" s="23">
        <v>3</v>
      </c>
      <c r="B114" s="24" t="s">
        <v>152</v>
      </c>
      <c r="C114" s="25"/>
      <c r="D114" s="26" t="s">
        <v>153</v>
      </c>
      <c r="E114" s="27"/>
      <c r="F114" s="125" t="s">
        <v>154</v>
      </c>
      <c r="G114" s="125" t="s">
        <v>155</v>
      </c>
      <c r="H114" s="125" t="s">
        <v>156</v>
      </c>
      <c r="I114" s="125" t="s">
        <v>157</v>
      </c>
      <c r="J114" s="125" t="s">
        <v>158</v>
      </c>
      <c r="K114" s="32"/>
      <c r="L114" s="26"/>
      <c r="M114" s="21"/>
    </row>
    <row r="115" spans="1:13" s="2" customFormat="1" ht="16.5">
      <c r="A115" s="29" t="s">
        <v>25</v>
      </c>
      <c r="B115" s="15" t="s">
        <v>133</v>
      </c>
      <c r="C115" s="16"/>
      <c r="D115" s="35"/>
      <c r="E115" s="35"/>
      <c r="F115" s="26"/>
      <c r="G115" s="26"/>
      <c r="H115" s="26"/>
      <c r="I115" s="26"/>
      <c r="J115" s="26"/>
      <c r="K115" s="32"/>
      <c r="L115" s="26"/>
      <c r="M115" s="21"/>
    </row>
    <row r="116" spans="1:13" s="2" customFormat="1" ht="16.5">
      <c r="A116" s="29">
        <v>1</v>
      </c>
      <c r="B116" s="15" t="s">
        <v>134</v>
      </c>
      <c r="C116" s="16" t="s">
        <v>37</v>
      </c>
      <c r="D116" s="35" t="s">
        <v>135</v>
      </c>
      <c r="E116" s="35">
        <v>13.6</v>
      </c>
      <c r="F116" s="35">
        <v>12</v>
      </c>
      <c r="G116" s="35">
        <v>10.9</v>
      </c>
      <c r="H116" s="35">
        <v>9.58</v>
      </c>
      <c r="I116" s="35">
        <v>8.87</v>
      </c>
      <c r="J116" s="35">
        <v>8</v>
      </c>
      <c r="K116" s="21">
        <f aca="true" t="shared" si="12" ref="K116:K121">((J116/E116)^(1/5)-1)*100</f>
        <v>-10.068835772242512</v>
      </c>
      <c r="L116" s="35"/>
      <c r="M116" s="21"/>
    </row>
    <row r="117" spans="1:13" s="22" customFormat="1" ht="16.5">
      <c r="A117" s="29">
        <v>2</v>
      </c>
      <c r="B117" s="15" t="s">
        <v>136</v>
      </c>
      <c r="C117" s="16" t="s">
        <v>37</v>
      </c>
      <c r="D117" s="35" t="s">
        <v>137</v>
      </c>
      <c r="E117" s="60">
        <v>6.47</v>
      </c>
      <c r="F117" s="35">
        <v>5.25</v>
      </c>
      <c r="G117" s="35">
        <v>4.43</v>
      </c>
      <c r="H117" s="60">
        <v>3.6</v>
      </c>
      <c r="I117" s="60">
        <v>1.99</v>
      </c>
      <c r="J117" s="60">
        <v>1.62</v>
      </c>
      <c r="K117" s="21">
        <f t="shared" si="12"/>
        <v>-24.190759304140652</v>
      </c>
      <c r="L117" s="35" t="s">
        <v>138</v>
      </c>
      <c r="M117" s="21"/>
    </row>
    <row r="118" spans="1:13" s="2" customFormat="1" ht="16.5">
      <c r="A118" s="29">
        <v>3</v>
      </c>
      <c r="B118" s="15" t="s">
        <v>139</v>
      </c>
      <c r="C118" s="16" t="s">
        <v>125</v>
      </c>
      <c r="D118" s="18">
        <v>22790</v>
      </c>
      <c r="E118" s="18">
        <v>21100</v>
      </c>
      <c r="F118" s="18">
        <v>21852</v>
      </c>
      <c r="G118" s="18">
        <v>22514</v>
      </c>
      <c r="H118" s="18">
        <v>23000</v>
      </c>
      <c r="I118" s="18">
        <v>23400</v>
      </c>
      <c r="J118" s="18">
        <v>24000</v>
      </c>
      <c r="K118" s="21">
        <f t="shared" si="12"/>
        <v>2.609071392645257</v>
      </c>
      <c r="L118" s="18">
        <v>26000</v>
      </c>
      <c r="M118" s="21">
        <f t="shared" si="7"/>
        <v>1.6137364741595661</v>
      </c>
    </row>
    <row r="119" spans="1:13" s="2" customFormat="1" ht="16.5">
      <c r="A119" s="23"/>
      <c r="B119" s="24" t="s">
        <v>140</v>
      </c>
      <c r="C119" s="25" t="s">
        <v>37</v>
      </c>
      <c r="D119" s="26">
        <v>95</v>
      </c>
      <c r="E119" s="27">
        <f>E118/23503%</f>
        <v>89.77577330553547</v>
      </c>
      <c r="F119" s="26">
        <v>92.07</v>
      </c>
      <c r="G119" s="27">
        <f>G118/23788%</f>
        <v>94.64435850008408</v>
      </c>
      <c r="H119" s="27">
        <f>H118/24100%</f>
        <v>95.4356846473029</v>
      </c>
      <c r="I119" s="27">
        <f>I118/24500%</f>
        <v>95.51020408163265</v>
      </c>
      <c r="J119" s="27">
        <f>J118/24700%</f>
        <v>97.16599190283401</v>
      </c>
      <c r="K119" s="32">
        <f t="shared" si="12"/>
        <v>1.5946940384695907</v>
      </c>
      <c r="L119" s="26">
        <v>98</v>
      </c>
      <c r="M119" s="21">
        <f t="shared" si="7"/>
        <v>0.1710802950112944</v>
      </c>
    </row>
    <row r="120" spans="1:13" s="2" customFormat="1" ht="16.5">
      <c r="A120" s="29">
        <v>4</v>
      </c>
      <c r="B120" s="15" t="s">
        <v>141</v>
      </c>
      <c r="C120" s="16" t="s">
        <v>125</v>
      </c>
      <c r="D120" s="18">
        <v>23510</v>
      </c>
      <c r="E120" s="18">
        <v>21864</v>
      </c>
      <c r="F120" s="46">
        <v>23228</v>
      </c>
      <c r="G120" s="46">
        <v>23412</v>
      </c>
      <c r="H120" s="46">
        <v>23605</v>
      </c>
      <c r="I120" s="46">
        <v>23700</v>
      </c>
      <c r="J120" s="46">
        <v>24200</v>
      </c>
      <c r="K120" s="21">
        <f t="shared" si="12"/>
        <v>2.050972912560134</v>
      </c>
      <c r="L120" s="46">
        <v>26000</v>
      </c>
      <c r="M120" s="21">
        <f t="shared" si="7"/>
        <v>1.4452218873250322</v>
      </c>
    </row>
    <row r="121" spans="1:13" s="2" customFormat="1" ht="16.5">
      <c r="A121" s="61"/>
      <c r="B121" s="62" t="s">
        <v>142</v>
      </c>
      <c r="C121" s="63" t="s">
        <v>37</v>
      </c>
      <c r="D121" s="66">
        <v>98</v>
      </c>
      <c r="E121" s="64">
        <f>E120/23503%</f>
        <v>93.02642215887333</v>
      </c>
      <c r="F121" s="64">
        <f>F120/23727%</f>
        <v>97.89691069246007</v>
      </c>
      <c r="G121" s="64">
        <f>G120/23788%</f>
        <v>98.41937111148478</v>
      </c>
      <c r="H121" s="64">
        <f>H120/24100%</f>
        <v>97.9460580912863</v>
      </c>
      <c r="I121" s="64">
        <f>I120/24500%</f>
        <v>96.73469387755102</v>
      </c>
      <c r="J121" s="64">
        <v>99</v>
      </c>
      <c r="K121" s="65">
        <f t="shared" si="12"/>
        <v>1.2525047151011437</v>
      </c>
      <c r="L121" s="66">
        <v>99.5</v>
      </c>
      <c r="M121" s="21">
        <f t="shared" si="7"/>
        <v>0.1008066563882748</v>
      </c>
    </row>
    <row r="122" spans="1:11" ht="1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</row>
    <row r="123" spans="1:11" ht="23.25">
      <c r="A123" s="2"/>
      <c r="B123" s="68"/>
      <c r="C123" s="68"/>
      <c r="D123" s="68"/>
      <c r="E123" s="68"/>
      <c r="F123" s="68"/>
      <c r="G123" s="68"/>
      <c r="H123" s="68"/>
      <c r="I123" s="2"/>
      <c r="J123" s="2"/>
      <c r="K123" s="2"/>
    </row>
    <row r="124" spans="2:8" ht="23.25">
      <c r="B124" s="68"/>
      <c r="C124" s="68"/>
      <c r="D124" s="68"/>
      <c r="E124" s="68"/>
      <c r="F124" s="68"/>
      <c r="G124" s="68"/>
      <c r="H124" s="68"/>
    </row>
    <row r="125" spans="2:8" ht="23.25">
      <c r="B125" s="68"/>
      <c r="C125" s="68"/>
      <c r="D125" s="68"/>
      <c r="E125" s="68"/>
      <c r="F125" s="68"/>
      <c r="G125" s="68"/>
      <c r="H125" s="68"/>
    </row>
    <row r="126" spans="2:8" ht="23.25">
      <c r="B126" s="68"/>
      <c r="C126" s="68"/>
      <c r="D126" s="68"/>
      <c r="E126" s="68"/>
      <c r="F126" s="68"/>
      <c r="G126" s="68"/>
      <c r="H126" s="68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</sheetData>
  <sheetProtection/>
  <mergeCells count="19">
    <mergeCell ref="B1:D1"/>
    <mergeCell ref="B2:D2"/>
    <mergeCell ref="A4:M4"/>
    <mergeCell ref="A5:M5"/>
    <mergeCell ref="A6:M6"/>
    <mergeCell ref="A7:A10"/>
    <mergeCell ref="B7:B10"/>
    <mergeCell ref="C7:C10"/>
    <mergeCell ref="D7:D10"/>
    <mergeCell ref="E7:E10"/>
    <mergeCell ref="F7:K7"/>
    <mergeCell ref="L7:L10"/>
    <mergeCell ref="M7:M10"/>
    <mergeCell ref="J8:J10"/>
    <mergeCell ref="K8:K10"/>
    <mergeCell ref="F8:F10"/>
    <mergeCell ref="G8:G10"/>
    <mergeCell ref="H8:H10"/>
    <mergeCell ref="I8:I10"/>
  </mergeCells>
  <printOptions/>
  <pageMargins left="0.24" right="0.26" top="0.24" bottom="0.21" header="0.24" footer="0.21"/>
  <pageSetup horizontalDpi="600" verticalDpi="600" orientation="landscape" paperSize="9" scale="89" r:id="rId1"/>
  <rowBreaks count="3" manualBreakCount="3">
    <brk id="34" max="255" man="1"/>
    <brk id="72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327 Tran Hung Dao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Quoc Viet Computer</dc:creator>
  <cp:keywords/>
  <dc:description/>
  <cp:lastModifiedBy>VP-NGA</cp:lastModifiedBy>
  <cp:lastPrinted>2015-02-10T01:17:28Z</cp:lastPrinted>
  <dcterms:created xsi:type="dcterms:W3CDTF">2015-02-10T00:50:36Z</dcterms:created>
  <dcterms:modified xsi:type="dcterms:W3CDTF">2015-05-27T21:46:16Z</dcterms:modified>
  <cp:category/>
  <cp:version/>
  <cp:contentType/>
  <cp:contentStatus/>
</cp:coreProperties>
</file>